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 10\Downloads\"/>
    </mc:Choice>
  </mc:AlternateContent>
  <xr:revisionPtr revIDLastSave="0" documentId="13_ncr:1_{78D4E10B-5D62-4118-AFEC-0EE0C7418DCF}" xr6:coauthVersionLast="47" xr6:coauthVersionMax="47" xr10:uidLastSave="{00000000-0000-0000-0000-000000000000}"/>
  <bookViews>
    <workbookView xWindow="-120" yWindow="-120" windowWidth="24240" windowHeight="13140" tabRatio="931" activeTab="2" xr2:uid="{00000000-000D-0000-FFFF-FFFF00000000}"/>
  </bookViews>
  <sheets>
    <sheet name="TH GIAO DUC" sheetId="8" r:id="rId1"/>
    <sheet name="CHI TIET GIAO DUC" sheetId="13" r:id="rId2"/>
    <sheet name="HOC PHI" sheetId="19" r:id="rId3"/>
    <sheet name="TX GD" sheetId="20" r:id="rId4"/>
  </sheets>
  <externalReferences>
    <externalReference r:id="rId5"/>
    <externalReference r:id="rId6"/>
    <externalReference r:id="rId7"/>
  </externalReferences>
  <definedNames>
    <definedName name="_xlnm.Print_Titles" localSheetId="1">'CHI TIET GIAO DUC'!$5:$6</definedName>
    <definedName name="_xlnm.Print_Titles" localSheetId="0">'TH GIAO DUC'!$6:$7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6" i="8" l="1"/>
  <c r="I19" i="8"/>
  <c r="Q12" i="8"/>
  <c r="Q13" i="8"/>
  <c r="Q19" i="8" l="1"/>
  <c r="R19" i="8" l="1"/>
  <c r="T19" i="8"/>
  <c r="Q10" i="8"/>
  <c r="T10" i="8" s="1"/>
  <c r="D9" i="8"/>
  <c r="E9" i="8"/>
  <c r="F9" i="8"/>
  <c r="G9" i="8"/>
  <c r="H9" i="8"/>
  <c r="Q9" i="8" s="1"/>
  <c r="T9" i="8" s="1"/>
  <c r="I9" i="8"/>
  <c r="J9" i="8"/>
  <c r="K9" i="8"/>
  <c r="L9" i="8"/>
  <c r="M9" i="8"/>
  <c r="N9" i="8"/>
  <c r="O9" i="8"/>
  <c r="P9" i="8"/>
  <c r="R9" i="8"/>
  <c r="S9" i="8"/>
  <c r="C9" i="8"/>
  <c r="Q20" i="8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S11" i="8"/>
  <c r="C11" i="8"/>
  <c r="S55" i="13"/>
  <c r="S35" i="13"/>
  <c r="S9" i="13"/>
  <c r="T25" i="8" l="1"/>
  <c r="J16" i="8" l="1"/>
  <c r="J15" i="8" s="1"/>
  <c r="V17" i="8"/>
  <c r="D34" i="20"/>
  <c r="C34" i="20"/>
  <c r="E54" i="20"/>
  <c r="E55" i="20"/>
  <c r="E56" i="20"/>
  <c r="D57" i="20"/>
  <c r="E33" i="20"/>
  <c r="E35" i="20"/>
  <c r="E34" i="20" s="1"/>
  <c r="E36" i="20"/>
  <c r="E37" i="20"/>
  <c r="E38" i="20"/>
  <c r="E39" i="20"/>
  <c r="E40" i="20"/>
  <c r="E41" i="20"/>
  <c r="E42" i="20"/>
  <c r="E43" i="20"/>
  <c r="E44" i="20"/>
  <c r="E45" i="20"/>
  <c r="E46" i="20"/>
  <c r="E47" i="20"/>
  <c r="E48" i="20"/>
  <c r="E49" i="20"/>
  <c r="E50" i="20"/>
  <c r="E51" i="20"/>
  <c r="E52" i="20"/>
  <c r="E53" i="20"/>
  <c r="E58" i="20"/>
  <c r="E59" i="20"/>
  <c r="E60" i="20"/>
  <c r="E61" i="20"/>
  <c r="E62" i="20"/>
  <c r="E63" i="20"/>
  <c r="E64" i="20"/>
  <c r="E65" i="20"/>
  <c r="E66" i="20"/>
  <c r="E67" i="20"/>
  <c r="E68" i="20"/>
  <c r="E69" i="20"/>
  <c r="E70" i="20"/>
  <c r="E71" i="20"/>
  <c r="E72" i="20"/>
  <c r="E10" i="20"/>
  <c r="E11" i="20"/>
  <c r="E12" i="20"/>
  <c r="E13" i="20"/>
  <c r="E14" i="20"/>
  <c r="E15" i="20"/>
  <c r="E16" i="20"/>
  <c r="E17" i="20"/>
  <c r="E18" i="20"/>
  <c r="E19" i="20"/>
  <c r="E20" i="20"/>
  <c r="E21" i="20"/>
  <c r="E22" i="20"/>
  <c r="E23" i="20"/>
  <c r="E24" i="20"/>
  <c r="E25" i="20"/>
  <c r="E26" i="20"/>
  <c r="E27" i="20"/>
  <c r="E28" i="20"/>
  <c r="E29" i="20"/>
  <c r="E30" i="20"/>
  <c r="E31" i="20"/>
  <c r="E32" i="20"/>
  <c r="E9" i="20"/>
  <c r="J8" i="8"/>
  <c r="J26" i="8" l="1"/>
  <c r="E57" i="20"/>
  <c r="E8" i="20"/>
  <c r="E7" i="20" l="1"/>
  <c r="C57" i="20"/>
  <c r="C8" i="20"/>
  <c r="C7" i="20" l="1"/>
  <c r="L68" i="13" l="1"/>
  <c r="L66" i="13"/>
  <c r="L62" i="13"/>
  <c r="T13" i="8"/>
  <c r="Q47" i="19" l="1"/>
  <c r="P47" i="19"/>
  <c r="I47" i="19"/>
  <c r="H47" i="19"/>
  <c r="M46" i="19"/>
  <c r="L46" i="19"/>
  <c r="I46" i="19"/>
  <c r="H46" i="19"/>
  <c r="M45" i="19"/>
  <c r="P45" i="19" s="1"/>
  <c r="L45" i="19"/>
  <c r="I45" i="19"/>
  <c r="H45" i="19"/>
  <c r="J45" i="19" s="1"/>
  <c r="M44" i="19"/>
  <c r="L44" i="19"/>
  <c r="I44" i="19"/>
  <c r="H44" i="19"/>
  <c r="J44" i="19" s="1"/>
  <c r="Q43" i="19"/>
  <c r="R43" i="19" s="1"/>
  <c r="P43" i="19"/>
  <c r="I43" i="19"/>
  <c r="H43" i="19"/>
  <c r="S43" i="19" s="1"/>
  <c r="M42" i="19"/>
  <c r="P42" i="19" s="1"/>
  <c r="I42" i="19"/>
  <c r="H42" i="19"/>
  <c r="J42" i="19" s="1"/>
  <c r="M41" i="19"/>
  <c r="L41" i="19"/>
  <c r="P41" i="19" s="1"/>
  <c r="I41" i="19"/>
  <c r="H41" i="19"/>
  <c r="J41" i="19" s="1"/>
  <c r="M40" i="19"/>
  <c r="L40" i="19"/>
  <c r="Q40" i="19" s="1"/>
  <c r="I40" i="19"/>
  <c r="H40" i="19"/>
  <c r="M39" i="19"/>
  <c r="L39" i="19"/>
  <c r="I39" i="19"/>
  <c r="H39" i="19"/>
  <c r="M38" i="19"/>
  <c r="L38" i="19"/>
  <c r="P38" i="19" s="1"/>
  <c r="I38" i="19"/>
  <c r="H38" i="19"/>
  <c r="J38" i="19" s="1"/>
  <c r="M37" i="19"/>
  <c r="L37" i="19"/>
  <c r="I37" i="19"/>
  <c r="H37" i="19"/>
  <c r="J37" i="19" s="1"/>
  <c r="M36" i="19"/>
  <c r="L36" i="19"/>
  <c r="I36" i="19"/>
  <c r="H36" i="19"/>
  <c r="J36" i="19" s="1"/>
  <c r="M35" i="19"/>
  <c r="L35" i="19"/>
  <c r="P35" i="19" s="1"/>
  <c r="I35" i="19"/>
  <c r="H35" i="19"/>
  <c r="Q34" i="19"/>
  <c r="P34" i="19"/>
  <c r="I34" i="19"/>
  <c r="T34" i="19" s="1"/>
  <c r="H34" i="19"/>
  <c r="J34" i="19" s="1"/>
  <c r="M33" i="19"/>
  <c r="L33" i="19"/>
  <c r="I33" i="19"/>
  <c r="H33" i="19"/>
  <c r="K32" i="19"/>
  <c r="I32" i="19"/>
  <c r="E32" i="19"/>
  <c r="D32" i="19"/>
  <c r="C32" i="19"/>
  <c r="Q31" i="19"/>
  <c r="P31" i="19"/>
  <c r="I31" i="19"/>
  <c r="T31" i="19" s="1"/>
  <c r="H31" i="19"/>
  <c r="Q30" i="19"/>
  <c r="P30" i="19"/>
  <c r="I30" i="19"/>
  <c r="H30" i="19"/>
  <c r="Q29" i="19"/>
  <c r="P29" i="19"/>
  <c r="I29" i="19"/>
  <c r="J29" i="19" s="1"/>
  <c r="H29" i="19"/>
  <c r="Q28" i="19"/>
  <c r="P28" i="19"/>
  <c r="I28" i="19"/>
  <c r="T28" i="19" s="1"/>
  <c r="H28" i="19"/>
  <c r="Q27" i="19"/>
  <c r="P27" i="19"/>
  <c r="R27" i="19" s="1"/>
  <c r="I27" i="19"/>
  <c r="T27" i="19" s="1"/>
  <c r="H27" i="19"/>
  <c r="J27" i="19" s="1"/>
  <c r="Q26" i="19"/>
  <c r="P26" i="19"/>
  <c r="I26" i="19"/>
  <c r="T26" i="19" s="1"/>
  <c r="H26" i="19"/>
  <c r="J26" i="19" s="1"/>
  <c r="Q25" i="19"/>
  <c r="P25" i="19"/>
  <c r="I25" i="19"/>
  <c r="T25" i="19" s="1"/>
  <c r="H25" i="19"/>
  <c r="S25" i="19" s="1"/>
  <c r="Q24" i="19"/>
  <c r="P24" i="19"/>
  <c r="R24" i="19" s="1"/>
  <c r="I24" i="19"/>
  <c r="T24" i="19" s="1"/>
  <c r="H24" i="19"/>
  <c r="J24" i="19" s="1"/>
  <c r="Q23" i="19"/>
  <c r="P23" i="19"/>
  <c r="R23" i="19" s="1"/>
  <c r="I23" i="19"/>
  <c r="T23" i="19" s="1"/>
  <c r="H23" i="19"/>
  <c r="S23" i="19" s="1"/>
  <c r="Q22" i="19"/>
  <c r="P22" i="19"/>
  <c r="R22" i="19" s="1"/>
  <c r="I22" i="19"/>
  <c r="T22" i="19" s="1"/>
  <c r="H22" i="19"/>
  <c r="S22" i="19" s="1"/>
  <c r="Q21" i="19"/>
  <c r="P21" i="19"/>
  <c r="I21" i="19"/>
  <c r="T21" i="19" s="1"/>
  <c r="H21" i="19"/>
  <c r="Q20" i="19"/>
  <c r="P20" i="19"/>
  <c r="S20" i="19" s="1"/>
  <c r="I20" i="19"/>
  <c r="H20" i="19"/>
  <c r="Q19" i="19"/>
  <c r="P19" i="19"/>
  <c r="I19" i="19"/>
  <c r="T19" i="19" s="1"/>
  <c r="H19" i="19"/>
  <c r="Q18" i="19"/>
  <c r="P18" i="19"/>
  <c r="I18" i="19"/>
  <c r="H18" i="19"/>
  <c r="Q17" i="19"/>
  <c r="P17" i="19"/>
  <c r="I17" i="19"/>
  <c r="J17" i="19" s="1"/>
  <c r="H17" i="19"/>
  <c r="Q16" i="19"/>
  <c r="P16" i="19"/>
  <c r="I16" i="19"/>
  <c r="T16" i="19" s="1"/>
  <c r="H16" i="19"/>
  <c r="Q15" i="19"/>
  <c r="P15" i="19"/>
  <c r="R15" i="19" s="1"/>
  <c r="I15" i="19"/>
  <c r="T15" i="19" s="1"/>
  <c r="H15" i="19"/>
  <c r="J15" i="19" s="1"/>
  <c r="Q14" i="19"/>
  <c r="P14" i="19"/>
  <c r="I14" i="19"/>
  <c r="T14" i="19" s="1"/>
  <c r="H14" i="19"/>
  <c r="J14" i="19" s="1"/>
  <c r="Q13" i="19"/>
  <c r="P13" i="19"/>
  <c r="I13" i="19"/>
  <c r="T13" i="19" s="1"/>
  <c r="H13" i="19"/>
  <c r="S13" i="19" s="1"/>
  <c r="Q12" i="19"/>
  <c r="P12" i="19"/>
  <c r="R12" i="19" s="1"/>
  <c r="I12" i="19"/>
  <c r="T12" i="19" s="1"/>
  <c r="H12" i="19"/>
  <c r="Q11" i="19"/>
  <c r="P11" i="19"/>
  <c r="R11" i="19" s="1"/>
  <c r="I11" i="19"/>
  <c r="T11" i="19" s="1"/>
  <c r="H11" i="19"/>
  <c r="S11" i="19" s="1"/>
  <c r="Q10" i="19"/>
  <c r="P10" i="19"/>
  <c r="R10" i="19" s="1"/>
  <c r="I10" i="19"/>
  <c r="T10" i="19" s="1"/>
  <c r="H10" i="19"/>
  <c r="S10" i="19" s="1"/>
  <c r="Q9" i="19"/>
  <c r="P9" i="19"/>
  <c r="I9" i="19"/>
  <c r="T9" i="19" s="1"/>
  <c r="H9" i="19"/>
  <c r="Q8" i="19"/>
  <c r="P8" i="19"/>
  <c r="S8" i="19" s="1"/>
  <c r="I8" i="19"/>
  <c r="H8" i="19"/>
  <c r="Q7" i="19"/>
  <c r="P7" i="19"/>
  <c r="S7" i="19" s="1"/>
  <c r="I7" i="19"/>
  <c r="H7" i="19"/>
  <c r="J7" i="19" s="1"/>
  <c r="M6" i="19"/>
  <c r="L6" i="19"/>
  <c r="K6" i="19"/>
  <c r="K5" i="19" s="1"/>
  <c r="E6" i="19"/>
  <c r="D6" i="19"/>
  <c r="C6" i="19"/>
  <c r="D5" i="19"/>
  <c r="C5" i="19"/>
  <c r="I16" i="8"/>
  <c r="H16" i="8"/>
  <c r="D15" i="8"/>
  <c r="D26" i="8" s="1"/>
  <c r="C8" i="8"/>
  <c r="Z10" i="13"/>
  <c r="Z11" i="13"/>
  <c r="Z12" i="13"/>
  <c r="Z13" i="13"/>
  <c r="Z14" i="13"/>
  <c r="Z15" i="13"/>
  <c r="Z16" i="13"/>
  <c r="Z17" i="13"/>
  <c r="Z18" i="13"/>
  <c r="Z19" i="13"/>
  <c r="Z20" i="13"/>
  <c r="Z21" i="13"/>
  <c r="Z22" i="13"/>
  <c r="Z23" i="13"/>
  <c r="Z24" i="13"/>
  <c r="Z25" i="13"/>
  <c r="Z26" i="13"/>
  <c r="Z27" i="13"/>
  <c r="Z28" i="13"/>
  <c r="Z29" i="13"/>
  <c r="Z30" i="13"/>
  <c r="Z31" i="13"/>
  <c r="Z32" i="13"/>
  <c r="Z33" i="13"/>
  <c r="Z34" i="13"/>
  <c r="Z36" i="13"/>
  <c r="Z37" i="13"/>
  <c r="Z38" i="13"/>
  <c r="Z39" i="13"/>
  <c r="Z40" i="13"/>
  <c r="Z41" i="13"/>
  <c r="Z42" i="13"/>
  <c r="Z43" i="13"/>
  <c r="Z44" i="13"/>
  <c r="Z45" i="13"/>
  <c r="Z46" i="13"/>
  <c r="Z47" i="13"/>
  <c r="Z48" i="13"/>
  <c r="Z49" i="13"/>
  <c r="Z50" i="13"/>
  <c r="Z51" i="13"/>
  <c r="Z52" i="13"/>
  <c r="Z53" i="13"/>
  <c r="Z54" i="13"/>
  <c r="Z56" i="13"/>
  <c r="Z57" i="13"/>
  <c r="Z58" i="13"/>
  <c r="Z59" i="13"/>
  <c r="Z60" i="13"/>
  <c r="Z61" i="13"/>
  <c r="Z62" i="13"/>
  <c r="Z63" i="13"/>
  <c r="Z64" i="13"/>
  <c r="Z65" i="13"/>
  <c r="Z66" i="13"/>
  <c r="Z67" i="13"/>
  <c r="Z68" i="13"/>
  <c r="Z69" i="13"/>
  <c r="Z70" i="13"/>
  <c r="U15" i="19" l="1"/>
  <c r="T18" i="19"/>
  <c r="J8" i="19"/>
  <c r="J12" i="19"/>
  <c r="U12" i="19" s="1"/>
  <c r="S12" i="19"/>
  <c r="J20" i="19"/>
  <c r="U24" i="19"/>
  <c r="S24" i="19"/>
  <c r="U27" i="19"/>
  <c r="T30" i="19"/>
  <c r="J43" i="19"/>
  <c r="U43" i="19" s="1"/>
  <c r="T47" i="19"/>
  <c r="R7" i="19"/>
  <c r="R8" i="19"/>
  <c r="R6" i="19" s="1"/>
  <c r="J9" i="19"/>
  <c r="R9" i="19"/>
  <c r="R13" i="19"/>
  <c r="R14" i="19"/>
  <c r="U14" i="19" s="1"/>
  <c r="J16" i="19"/>
  <c r="R16" i="19"/>
  <c r="R17" i="19"/>
  <c r="J18" i="19"/>
  <c r="R18" i="19"/>
  <c r="J19" i="19"/>
  <c r="U19" i="19" s="1"/>
  <c r="R19" i="19"/>
  <c r="R20" i="19"/>
  <c r="J21" i="19"/>
  <c r="R21" i="19"/>
  <c r="R25" i="19"/>
  <c r="R26" i="19"/>
  <c r="U26" i="19" s="1"/>
  <c r="V26" i="19" s="1"/>
  <c r="J28" i="19"/>
  <c r="R28" i="19"/>
  <c r="U28" i="19" s="1"/>
  <c r="R29" i="19"/>
  <c r="J30" i="19"/>
  <c r="U30" i="19" s="1"/>
  <c r="V30" i="19" s="1"/>
  <c r="R30" i="19"/>
  <c r="J31" i="19"/>
  <c r="R31" i="19"/>
  <c r="E5" i="19"/>
  <c r="R34" i="19"/>
  <c r="J46" i="19"/>
  <c r="J47" i="19"/>
  <c r="R47" i="19"/>
  <c r="Q33" i="19"/>
  <c r="T33" i="19" s="1"/>
  <c r="Q36" i="19"/>
  <c r="T36" i="19" s="1"/>
  <c r="L32" i="19"/>
  <c r="L5" i="19" s="1"/>
  <c r="Q37" i="19"/>
  <c r="T37" i="19" s="1"/>
  <c r="S35" i="19"/>
  <c r="P39" i="19"/>
  <c r="S39" i="19" s="1"/>
  <c r="P36" i="19"/>
  <c r="S36" i="19" s="1"/>
  <c r="Q44" i="19"/>
  <c r="M32" i="19"/>
  <c r="M5" i="19" s="1"/>
  <c r="Q35" i="19"/>
  <c r="T35" i="19" s="1"/>
  <c r="R16" i="8"/>
  <c r="Q38" i="19"/>
  <c r="T38" i="19" s="1"/>
  <c r="Q42" i="19"/>
  <c r="R42" i="19" s="1"/>
  <c r="U42" i="19" s="1"/>
  <c r="P44" i="19"/>
  <c r="P40" i="19"/>
  <c r="R40" i="19" s="1"/>
  <c r="P33" i="19"/>
  <c r="T40" i="19"/>
  <c r="P46" i="19"/>
  <c r="S46" i="19" s="1"/>
  <c r="Q41" i="19"/>
  <c r="T41" i="19" s="1"/>
  <c r="Q39" i="19"/>
  <c r="V24" i="19"/>
  <c r="V27" i="19"/>
  <c r="U29" i="19"/>
  <c r="U34" i="19"/>
  <c r="S45" i="19"/>
  <c r="V19" i="19"/>
  <c r="S38" i="19"/>
  <c r="T44" i="19"/>
  <c r="U18" i="19"/>
  <c r="U31" i="19"/>
  <c r="V15" i="19"/>
  <c r="X15" i="19" s="1"/>
  <c r="V12" i="19"/>
  <c r="U17" i="19"/>
  <c r="V43" i="19"/>
  <c r="U7" i="19"/>
  <c r="U9" i="19"/>
  <c r="J10" i="19"/>
  <c r="U10" i="19" s="1"/>
  <c r="S14" i="19"/>
  <c r="J22" i="19"/>
  <c r="U22" i="19" s="1"/>
  <c r="S26" i="19"/>
  <c r="S34" i="19"/>
  <c r="P37" i="19"/>
  <c r="J40" i="19"/>
  <c r="I6" i="19"/>
  <c r="I5" i="19" s="1"/>
  <c r="J11" i="19"/>
  <c r="U11" i="19" s="1"/>
  <c r="S15" i="19"/>
  <c r="J23" i="19"/>
  <c r="U23" i="19" s="1"/>
  <c r="S27" i="19"/>
  <c r="J39" i="19"/>
  <c r="H6" i="19"/>
  <c r="S16" i="19"/>
  <c r="T17" i="19"/>
  <c r="S28" i="19"/>
  <c r="T29" i="19"/>
  <c r="J13" i="19"/>
  <c r="U13" i="19" s="1"/>
  <c r="S17" i="19"/>
  <c r="J25" i="19"/>
  <c r="U25" i="19" s="1"/>
  <c r="S29" i="19"/>
  <c r="S18" i="19"/>
  <c r="S30" i="19"/>
  <c r="S47" i="19"/>
  <c r="T7" i="19"/>
  <c r="T8" i="19"/>
  <c r="S19" i="19"/>
  <c r="T20" i="19"/>
  <c r="S31" i="19"/>
  <c r="J33" i="19"/>
  <c r="J35" i="19"/>
  <c r="S41" i="19"/>
  <c r="S42" i="19"/>
  <c r="T43" i="19"/>
  <c r="Q46" i="19"/>
  <c r="T46" i="19" s="1"/>
  <c r="Q45" i="19"/>
  <c r="T45" i="19" s="1"/>
  <c r="Q6" i="19"/>
  <c r="S9" i="19"/>
  <c r="S21" i="19"/>
  <c r="P6" i="19"/>
  <c r="H32" i="19"/>
  <c r="W30" i="19" l="1"/>
  <c r="X30" i="19"/>
  <c r="W26" i="19"/>
  <c r="X26" i="19"/>
  <c r="W43" i="19"/>
  <c r="X43" i="19"/>
  <c r="W12" i="19"/>
  <c r="X12" i="19"/>
  <c r="W19" i="19"/>
  <c r="X19" i="19"/>
  <c r="W27" i="19"/>
  <c r="X27" i="19"/>
  <c r="U20" i="19"/>
  <c r="V20" i="19" s="1"/>
  <c r="S6" i="19"/>
  <c r="W15" i="19"/>
  <c r="W24" i="19"/>
  <c r="X24" i="19"/>
  <c r="T42" i="19"/>
  <c r="R35" i="19"/>
  <c r="U47" i="19"/>
  <c r="U21" i="19"/>
  <c r="V21" i="19" s="1"/>
  <c r="U16" i="19"/>
  <c r="V16" i="19" s="1"/>
  <c r="U8" i="19"/>
  <c r="V8" i="19" s="1"/>
  <c r="R33" i="19"/>
  <c r="U33" i="19" s="1"/>
  <c r="R36" i="19"/>
  <c r="U36" i="19" s="1"/>
  <c r="V36" i="19" s="1"/>
  <c r="R37" i="19"/>
  <c r="U37" i="19" s="1"/>
  <c r="V37" i="19" s="1"/>
  <c r="R44" i="19"/>
  <c r="U44" i="19" s="1"/>
  <c r="V44" i="19" s="1"/>
  <c r="U40" i="19"/>
  <c r="V40" i="19" s="1"/>
  <c r="S33" i="19"/>
  <c r="R41" i="19"/>
  <c r="U41" i="19" s="1"/>
  <c r="S40" i="19"/>
  <c r="S44" i="19"/>
  <c r="U35" i="19"/>
  <c r="V35" i="19" s="1"/>
  <c r="R39" i="19"/>
  <c r="U39" i="19" s="1"/>
  <c r="V39" i="19" s="1"/>
  <c r="V42" i="19"/>
  <c r="X42" i="19" s="1"/>
  <c r="T39" i="19"/>
  <c r="T32" i="19" s="1"/>
  <c r="R46" i="19"/>
  <c r="U46" i="19" s="1"/>
  <c r="V46" i="19" s="1"/>
  <c r="R45" i="19"/>
  <c r="U45" i="19" s="1"/>
  <c r="V45" i="19" s="1"/>
  <c r="R38" i="19"/>
  <c r="U38" i="19" s="1"/>
  <c r="V38" i="19" s="1"/>
  <c r="V7" i="19"/>
  <c r="X7" i="19" s="1"/>
  <c r="W7" i="19"/>
  <c r="J32" i="19"/>
  <c r="V13" i="19"/>
  <c r="V9" i="19"/>
  <c r="X9" i="19" s="1"/>
  <c r="W9" i="19"/>
  <c r="V25" i="19"/>
  <c r="V11" i="19"/>
  <c r="V18" i="19"/>
  <c r="S37" i="19"/>
  <c r="Q32" i="19"/>
  <c r="Q5" i="19" s="1"/>
  <c r="V34" i="19"/>
  <c r="X34" i="19" s="1"/>
  <c r="V28" i="19"/>
  <c r="V31" i="19"/>
  <c r="V10" i="19"/>
  <c r="V17" i="19"/>
  <c r="X17" i="19" s="1"/>
  <c r="J6" i="19"/>
  <c r="V41" i="19"/>
  <c r="V23" i="19"/>
  <c r="X23" i="19" s="1"/>
  <c r="W23" i="19"/>
  <c r="V22" i="19"/>
  <c r="V14" i="19"/>
  <c r="T6" i="19"/>
  <c r="H5" i="19"/>
  <c r="P32" i="19"/>
  <c r="P5" i="19" s="1"/>
  <c r="W29" i="19"/>
  <c r="V29" i="19"/>
  <c r="X29" i="19" s="1"/>
  <c r="W14" i="19" l="1"/>
  <c r="X14" i="19"/>
  <c r="W10" i="19"/>
  <c r="X10" i="19"/>
  <c r="W28" i="19"/>
  <c r="X28" i="19"/>
  <c r="W11" i="19"/>
  <c r="X11" i="19"/>
  <c r="W13" i="19"/>
  <c r="X13" i="19"/>
  <c r="W8" i="19"/>
  <c r="X8" i="19"/>
  <c r="W21" i="19"/>
  <c r="X21" i="19"/>
  <c r="W20" i="19"/>
  <c r="X20" i="19"/>
  <c r="W22" i="19"/>
  <c r="X22" i="19"/>
  <c r="W17" i="19"/>
  <c r="W31" i="19"/>
  <c r="X31" i="19"/>
  <c r="W34" i="19"/>
  <c r="W18" i="19"/>
  <c r="X18" i="19"/>
  <c r="W25" i="19"/>
  <c r="X25" i="19"/>
  <c r="U6" i="19"/>
  <c r="W16" i="19"/>
  <c r="W6" i="19" s="1"/>
  <c r="X16" i="19"/>
  <c r="V47" i="19"/>
  <c r="X47" i="19" s="1"/>
  <c r="S32" i="19"/>
  <c r="S5" i="19" s="1"/>
  <c r="W46" i="19"/>
  <c r="X46" i="19"/>
  <c r="R32" i="19"/>
  <c r="R5" i="19" s="1"/>
  <c r="W40" i="19"/>
  <c r="X40" i="19"/>
  <c r="W45" i="19"/>
  <c r="X45" i="19"/>
  <c r="W42" i="19"/>
  <c r="W44" i="19"/>
  <c r="X44" i="19"/>
  <c r="W39" i="19"/>
  <c r="X39" i="19"/>
  <c r="W36" i="19"/>
  <c r="X36" i="19"/>
  <c r="W37" i="19"/>
  <c r="X37" i="19"/>
  <c r="W38" i="19"/>
  <c r="X38" i="19"/>
  <c r="W35" i="19"/>
  <c r="X35" i="19"/>
  <c r="W41" i="19"/>
  <c r="X41" i="19"/>
  <c r="U32" i="19"/>
  <c r="U5" i="19" s="1"/>
  <c r="V33" i="19"/>
  <c r="W33" i="19" s="1"/>
  <c r="T5" i="19"/>
  <c r="V6" i="19"/>
  <c r="J5" i="19"/>
  <c r="W47" i="19" l="1"/>
  <c r="W32" i="19" s="1"/>
  <c r="W5" i="19" s="1"/>
  <c r="V32" i="19"/>
  <c r="V5" i="19" s="1"/>
  <c r="X33" i="19"/>
  <c r="L57" i="13"/>
  <c r="U57" i="13" s="1"/>
  <c r="L58" i="13"/>
  <c r="L59" i="13"/>
  <c r="U59" i="13" s="1"/>
  <c r="L60" i="13"/>
  <c r="L61" i="13"/>
  <c r="U61" i="13" s="1"/>
  <c r="L63" i="13"/>
  <c r="L64" i="13"/>
  <c r="L65" i="13"/>
  <c r="L67" i="13"/>
  <c r="U67" i="13" s="1"/>
  <c r="L69" i="13"/>
  <c r="L70" i="13"/>
  <c r="L56" i="13"/>
  <c r="L36" i="13"/>
  <c r="L37" i="13"/>
  <c r="L38" i="13"/>
  <c r="U38" i="13" s="1"/>
  <c r="L39" i="13"/>
  <c r="L40" i="13"/>
  <c r="U40" i="13" s="1"/>
  <c r="L41" i="13"/>
  <c r="L42" i="13"/>
  <c r="U42" i="13" s="1"/>
  <c r="L43" i="13"/>
  <c r="L44" i="13"/>
  <c r="U44" i="13" s="1"/>
  <c r="L45" i="13"/>
  <c r="L46" i="13"/>
  <c r="U46" i="13" s="1"/>
  <c r="L47" i="13"/>
  <c r="L48" i="13"/>
  <c r="U48" i="13" s="1"/>
  <c r="L49" i="13"/>
  <c r="L50" i="13"/>
  <c r="U50" i="13" s="1"/>
  <c r="L51" i="13"/>
  <c r="L52" i="13"/>
  <c r="U52" i="13" s="1"/>
  <c r="L53" i="13"/>
  <c r="L54" i="13"/>
  <c r="U54" i="13" s="1"/>
  <c r="L11" i="13"/>
  <c r="L12" i="13"/>
  <c r="L13" i="13"/>
  <c r="L14" i="13"/>
  <c r="L15" i="13"/>
  <c r="L16" i="13"/>
  <c r="L17" i="13"/>
  <c r="L18" i="13"/>
  <c r="L19" i="13"/>
  <c r="L20" i="13"/>
  <c r="L21" i="13"/>
  <c r="L22" i="13"/>
  <c r="L23" i="13"/>
  <c r="L24" i="13"/>
  <c r="L25" i="13"/>
  <c r="L26" i="13"/>
  <c r="L27" i="13"/>
  <c r="L28" i="13"/>
  <c r="L29" i="13"/>
  <c r="L30" i="13"/>
  <c r="L31" i="13"/>
  <c r="L32" i="13"/>
  <c r="L33" i="13"/>
  <c r="L34" i="13"/>
  <c r="L10" i="13"/>
  <c r="C9" i="13"/>
  <c r="C35" i="13"/>
  <c r="C55" i="13"/>
  <c r="J57" i="13"/>
  <c r="J58" i="13"/>
  <c r="J59" i="13"/>
  <c r="J60" i="13"/>
  <c r="J61" i="13"/>
  <c r="J62" i="13"/>
  <c r="U62" i="13" s="1"/>
  <c r="J63" i="13"/>
  <c r="J64" i="13"/>
  <c r="J65" i="13"/>
  <c r="J66" i="13"/>
  <c r="U66" i="13" s="1"/>
  <c r="J67" i="13"/>
  <c r="J68" i="13"/>
  <c r="U68" i="13" s="1"/>
  <c r="J69" i="13"/>
  <c r="J70" i="13"/>
  <c r="J56" i="13"/>
  <c r="J37" i="13"/>
  <c r="J38" i="13"/>
  <c r="J39" i="13"/>
  <c r="J40" i="13"/>
  <c r="J41" i="13"/>
  <c r="J42" i="13"/>
  <c r="J43" i="13"/>
  <c r="J44" i="13"/>
  <c r="J45" i="13"/>
  <c r="J46" i="13"/>
  <c r="J47" i="13"/>
  <c r="J48" i="13"/>
  <c r="J49" i="13"/>
  <c r="J50" i="13"/>
  <c r="J51" i="13"/>
  <c r="J52" i="13"/>
  <c r="J53" i="13"/>
  <c r="J54" i="13"/>
  <c r="J36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10" i="13"/>
  <c r="G9" i="13"/>
  <c r="D55" i="13"/>
  <c r="D9" i="13"/>
  <c r="D35" i="13"/>
  <c r="F62" i="13"/>
  <c r="F55" i="13" s="1"/>
  <c r="G55" i="13"/>
  <c r="G35" i="13"/>
  <c r="F35" i="13"/>
  <c r="H35" i="13"/>
  <c r="E9" i="13"/>
  <c r="E35" i="13"/>
  <c r="E55" i="13"/>
  <c r="U34" i="13" l="1"/>
  <c r="U32" i="13"/>
  <c r="U30" i="13"/>
  <c r="U28" i="13"/>
  <c r="U26" i="13"/>
  <c r="U24" i="13"/>
  <c r="U22" i="13"/>
  <c r="U20" i="13"/>
  <c r="U18" i="13"/>
  <c r="U16" i="13"/>
  <c r="U14" i="13"/>
  <c r="U12" i="13"/>
  <c r="U36" i="13"/>
  <c r="U70" i="13"/>
  <c r="U64" i="13"/>
  <c r="U10" i="13"/>
  <c r="U33" i="13"/>
  <c r="U31" i="13"/>
  <c r="U29" i="13"/>
  <c r="U27" i="13"/>
  <c r="U25" i="13"/>
  <c r="U23" i="13"/>
  <c r="U21" i="13"/>
  <c r="U19" i="13"/>
  <c r="U17" i="13"/>
  <c r="U15" i="13"/>
  <c r="U13" i="13"/>
  <c r="U11" i="13"/>
  <c r="U53" i="13"/>
  <c r="U51" i="13"/>
  <c r="U49" i="13"/>
  <c r="U47" i="13"/>
  <c r="U45" i="13"/>
  <c r="U43" i="13"/>
  <c r="U41" i="13"/>
  <c r="U39" i="13"/>
  <c r="U37" i="13"/>
  <c r="U56" i="13"/>
  <c r="U69" i="13"/>
  <c r="U65" i="13"/>
  <c r="U63" i="13"/>
  <c r="U60" i="13"/>
  <c r="U58" i="13"/>
  <c r="D8" i="13"/>
  <c r="T10" i="13"/>
  <c r="J55" i="13"/>
  <c r="J35" i="13"/>
  <c r="J9" i="13"/>
  <c r="G8" i="13"/>
  <c r="J8" i="13" l="1"/>
  <c r="N55" i="13" l="1"/>
  <c r="N35" i="13"/>
  <c r="N9" i="13"/>
  <c r="AB66" i="13"/>
  <c r="K55" i="13"/>
  <c r="K35" i="13"/>
  <c r="K9" i="13"/>
  <c r="F9" i="13"/>
  <c r="F8" i="13" s="1"/>
  <c r="H9" i="13"/>
  <c r="H8" i="13" s="1"/>
  <c r="E8" i="13"/>
  <c r="V55" i="13"/>
  <c r="V9" i="13"/>
  <c r="V35" i="13"/>
  <c r="AB19" i="13"/>
  <c r="AB15" i="13"/>
  <c r="AB10" i="13"/>
  <c r="AB23" i="13"/>
  <c r="AB25" i="13"/>
  <c r="AB32" i="13"/>
  <c r="AB16" i="13"/>
  <c r="AB62" i="13"/>
  <c r="AB68" i="13"/>
  <c r="AB36" i="13"/>
  <c r="AB37" i="13"/>
  <c r="AB38" i="13"/>
  <c r="AB39" i="13"/>
  <c r="AB40" i="13"/>
  <c r="AB41" i="13"/>
  <c r="AB42" i="13"/>
  <c r="AB43" i="13"/>
  <c r="AB44" i="13"/>
  <c r="AB45" i="13"/>
  <c r="AB46" i="13"/>
  <c r="AB47" i="13"/>
  <c r="AB48" i="13"/>
  <c r="AB49" i="13"/>
  <c r="AB50" i="13"/>
  <c r="AB51" i="13"/>
  <c r="AB52" i="13"/>
  <c r="AB53" i="13"/>
  <c r="AB54" i="13"/>
  <c r="AB56" i="13"/>
  <c r="AB57" i="13"/>
  <c r="AB58" i="13"/>
  <c r="AB59" i="13"/>
  <c r="AB60" i="13"/>
  <c r="AB61" i="13"/>
  <c r="AB64" i="13"/>
  <c r="AB67" i="13"/>
  <c r="AB69" i="13"/>
  <c r="R35" i="13"/>
  <c r="R55" i="13"/>
  <c r="AB11" i="13"/>
  <c r="AB12" i="13"/>
  <c r="AB13" i="13"/>
  <c r="AB14" i="13"/>
  <c r="AB17" i="13"/>
  <c r="AB18" i="13"/>
  <c r="AB20" i="13"/>
  <c r="AB21" i="13"/>
  <c r="AB22" i="13"/>
  <c r="AB24" i="13"/>
  <c r="AB26" i="13"/>
  <c r="AB27" i="13"/>
  <c r="AB28" i="13"/>
  <c r="AB29" i="13"/>
  <c r="AB30" i="13"/>
  <c r="AB31" i="13"/>
  <c r="AB33" i="13"/>
  <c r="AB34" i="13"/>
  <c r="Q35" i="13"/>
  <c r="Q55" i="13" l="1"/>
  <c r="K8" i="13"/>
  <c r="N8" i="13"/>
  <c r="K8" i="8" s="1"/>
  <c r="K26" i="8" s="1"/>
  <c r="M35" i="13"/>
  <c r="Q9" i="13"/>
  <c r="M55" i="13"/>
  <c r="P55" i="13"/>
  <c r="P9" i="13"/>
  <c r="P35" i="13"/>
  <c r="M9" i="13" l="1"/>
  <c r="M8" i="13" s="1"/>
  <c r="P8" i="13"/>
  <c r="M8" i="8" s="1"/>
  <c r="M26" i="8" s="1"/>
  <c r="V8" i="13"/>
  <c r="S8" i="8" s="1"/>
  <c r="V5" i="8" l="1"/>
  <c r="V6" i="8" s="1"/>
  <c r="Q16" i="8"/>
  <c r="T16" i="8" s="1"/>
  <c r="T24" i="8" l="1"/>
  <c r="T23" i="8"/>
  <c r="R20" i="8"/>
  <c r="S20" i="8"/>
  <c r="T62" i="13" l="1"/>
  <c r="T68" i="13"/>
  <c r="W68" i="13" s="1"/>
  <c r="T66" i="13"/>
  <c r="W66" i="13" l="1"/>
  <c r="W62" i="13"/>
  <c r="AA5" i="13" l="1"/>
  <c r="AA7" i="13"/>
  <c r="W10" i="13" l="1"/>
  <c r="X9" i="13" l="1"/>
  <c r="AB9" i="13" l="1"/>
  <c r="I15" i="8"/>
  <c r="V30" i="8"/>
  <c r="X27" i="8"/>
  <c r="T22" i="8"/>
  <c r="T21" i="8"/>
  <c r="P20" i="8"/>
  <c r="O20" i="8"/>
  <c r="N20" i="8"/>
  <c r="L20" i="8"/>
  <c r="I20" i="8"/>
  <c r="H20" i="8"/>
  <c r="G20" i="8"/>
  <c r="F20" i="8"/>
  <c r="E20" i="8"/>
  <c r="C20" i="8"/>
  <c r="R18" i="8"/>
  <c r="Q18" i="8"/>
  <c r="R17" i="8"/>
  <c r="R15" i="8" s="1"/>
  <c r="Q17" i="8"/>
  <c r="F16" i="8"/>
  <c r="F15" i="8" s="1"/>
  <c r="S15" i="8"/>
  <c r="S26" i="8" s="1"/>
  <c r="P15" i="8"/>
  <c r="P26" i="8" s="1"/>
  <c r="O15" i="8"/>
  <c r="N15" i="8"/>
  <c r="L15" i="8"/>
  <c r="G15" i="8"/>
  <c r="G26" i="8" s="1"/>
  <c r="E15" i="8"/>
  <c r="E26" i="8" s="1"/>
  <c r="C15" i="8"/>
  <c r="Q14" i="8"/>
  <c r="Q11" i="8" s="1"/>
  <c r="X55" i="13"/>
  <c r="AB55" i="13" s="1"/>
  <c r="I55" i="13"/>
  <c r="X35" i="13"/>
  <c r="I35" i="13"/>
  <c r="S8" i="13"/>
  <c r="R9" i="13"/>
  <c r="R8" i="13" s="1"/>
  <c r="O8" i="8" s="1"/>
  <c r="O26" i="8" s="1"/>
  <c r="Q8" i="13"/>
  <c r="N8" i="8" s="1"/>
  <c r="N26" i="8" s="1"/>
  <c r="I9" i="13"/>
  <c r="C8" i="13"/>
  <c r="Y4" i="13"/>
  <c r="C26" i="8" l="1"/>
  <c r="T20" i="8"/>
  <c r="T17" i="8"/>
  <c r="T18" i="8"/>
  <c r="X8" i="13"/>
  <c r="I8" i="13"/>
  <c r="H8" i="8" s="1"/>
  <c r="T19" i="13"/>
  <c r="W19" i="13" s="1"/>
  <c r="T21" i="13"/>
  <c r="T33" i="13"/>
  <c r="T67" i="13"/>
  <c r="T20" i="13"/>
  <c r="T22" i="13"/>
  <c r="W22" i="13" s="1"/>
  <c r="T34" i="13"/>
  <c r="T12" i="13"/>
  <c r="T14" i="13"/>
  <c r="T16" i="13"/>
  <c r="T18" i="13"/>
  <c r="T24" i="13"/>
  <c r="W24" i="13" s="1"/>
  <c r="T26" i="13"/>
  <c r="T28" i="13"/>
  <c r="T30" i="13"/>
  <c r="T32" i="13"/>
  <c r="T36" i="13"/>
  <c r="T38" i="13"/>
  <c r="T40" i="13"/>
  <c r="T42" i="13"/>
  <c r="T44" i="13"/>
  <c r="T46" i="13"/>
  <c r="T48" i="13"/>
  <c r="T50" i="13"/>
  <c r="T52" i="13"/>
  <c r="T54" i="13"/>
  <c r="T57" i="13"/>
  <c r="T59" i="13"/>
  <c r="T61" i="13"/>
  <c r="T64" i="13"/>
  <c r="T69" i="13"/>
  <c r="T11" i="13"/>
  <c r="T13" i="13"/>
  <c r="T15" i="13"/>
  <c r="T17" i="13"/>
  <c r="T23" i="13"/>
  <c r="T25" i="13"/>
  <c r="T27" i="13"/>
  <c r="T29" i="13"/>
  <c r="T31" i="13"/>
  <c r="Y7" i="13"/>
  <c r="AE5" i="13" s="1"/>
  <c r="AB35" i="13"/>
  <c r="T37" i="13"/>
  <c r="W37" i="13" s="1"/>
  <c r="T39" i="13"/>
  <c r="T41" i="13"/>
  <c r="T43" i="13"/>
  <c r="T45" i="13"/>
  <c r="T47" i="13"/>
  <c r="T49" i="13"/>
  <c r="W49" i="13" s="1"/>
  <c r="T51" i="13"/>
  <c r="T53" i="13"/>
  <c r="T56" i="13"/>
  <c r="T58" i="13"/>
  <c r="T60" i="13"/>
  <c r="T63" i="13"/>
  <c r="T65" i="13"/>
  <c r="T70" i="13"/>
  <c r="F8" i="8"/>
  <c r="F26" i="8" s="1"/>
  <c r="AA6" i="13"/>
  <c r="AC6" i="13" s="1"/>
  <c r="AD6" i="13" s="1"/>
  <c r="L55" i="13"/>
  <c r="X4" i="13"/>
  <c r="Z4" i="13" s="1"/>
  <c r="AA4" i="13" s="1"/>
  <c r="L9" i="13"/>
  <c r="L35" i="13"/>
  <c r="O55" i="13"/>
  <c r="O9" i="13"/>
  <c r="O35" i="13"/>
  <c r="H15" i="8"/>
  <c r="Q15" i="8"/>
  <c r="R12" i="8"/>
  <c r="R14" i="8"/>
  <c r="T14" i="8" s="1"/>
  <c r="R11" i="8" l="1"/>
  <c r="H26" i="8"/>
  <c r="T15" i="8"/>
  <c r="W63" i="13"/>
  <c r="L8" i="13"/>
  <c r="W12" i="13"/>
  <c r="W28" i="13"/>
  <c r="W43" i="13"/>
  <c r="W29" i="13"/>
  <c r="W27" i="13"/>
  <c r="W58" i="13"/>
  <c r="W34" i="13"/>
  <c r="W39" i="13"/>
  <c r="W65" i="13"/>
  <c r="W70" i="13"/>
  <c r="W53" i="13"/>
  <c r="W13" i="13"/>
  <c r="W57" i="13"/>
  <c r="W30" i="13"/>
  <c r="W14" i="13"/>
  <c r="W33" i="13"/>
  <c r="W69" i="13"/>
  <c r="W51" i="13"/>
  <c r="W45" i="13"/>
  <c r="W31" i="13"/>
  <c r="W59" i="13"/>
  <c r="W67" i="13"/>
  <c r="W41" i="13"/>
  <c r="W60" i="13"/>
  <c r="W47" i="13"/>
  <c r="W17" i="13"/>
  <c r="W61" i="13"/>
  <c r="W18" i="13"/>
  <c r="W20" i="13"/>
  <c r="W26" i="13"/>
  <c r="W36" i="13"/>
  <c r="T35" i="13"/>
  <c r="U55" i="13"/>
  <c r="W25" i="13"/>
  <c r="W23" i="13"/>
  <c r="W15" i="13"/>
  <c r="U9" i="13"/>
  <c r="W64" i="13"/>
  <c r="W54" i="13"/>
  <c r="W52" i="13"/>
  <c r="W50" i="13"/>
  <c r="W48" i="13"/>
  <c r="W46" i="13"/>
  <c r="W44" i="13"/>
  <c r="W42" i="13"/>
  <c r="W40" i="13"/>
  <c r="W38" i="13"/>
  <c r="W32" i="13"/>
  <c r="W16" i="13"/>
  <c r="T55" i="13"/>
  <c r="W56" i="13"/>
  <c r="W11" i="13"/>
  <c r="T9" i="13"/>
  <c r="U35" i="13"/>
  <c r="W21" i="13"/>
  <c r="O8" i="13"/>
  <c r="L8" i="8" s="1"/>
  <c r="L26" i="8" s="1"/>
  <c r="I8" i="8"/>
  <c r="I26" i="8" s="1"/>
  <c r="V3" i="8"/>
  <c r="T12" i="8"/>
  <c r="T11" i="8" s="1"/>
  <c r="Q8" i="8" l="1"/>
  <c r="R8" i="8"/>
  <c r="R26" i="8" s="1"/>
  <c r="T8" i="13"/>
  <c r="W55" i="13"/>
  <c r="U8" i="13"/>
  <c r="W35" i="13"/>
  <c r="W9" i="13"/>
  <c r="T8" i="8" l="1"/>
  <c r="T26" i="8" s="1"/>
  <c r="Q26" i="8"/>
  <c r="U27" i="8" s="1"/>
  <c r="V29" i="8"/>
  <c r="V31" i="8" s="1"/>
  <c r="W8" i="13"/>
  <c r="X28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ismail - [2010]</author>
  </authors>
  <commentList>
    <comment ref="N8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Tổng KP tỉnh cấp 1.600 trđ bao gồm: Phòng LĐTBXH  trđ, SNGD  trđ
</t>
        </r>
      </text>
    </comment>
    <comment ref="O8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Bằng số Tỉnh giao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Y20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Thị trấn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Y21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Thị trấn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4" authorId="0" shapeId="0" xr:uid="{00000000-0006-0000-0100-000003000000}">
      <text>
        <r>
          <rPr>
            <sz val="9"/>
            <color indexed="81"/>
            <rFont val="Tahoma"/>
            <family val="2"/>
          </rPr>
          <t xml:space="preserve">Nhập Trường TH Tây Hiên và Bắc Hiền thành Trường Tây Bắc Hiền
</t>
        </r>
      </text>
    </comment>
    <comment ref="Y46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Thị trấn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Y61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Thị trấn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1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Thị trấn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Thị trấn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3" authorId="0" shapeId="0" xr:uid="{00000000-0006-0000-0300-000003000000}">
      <text>
        <r>
          <rPr>
            <sz val="9"/>
            <color indexed="81"/>
            <rFont val="Tahoma"/>
            <family val="2"/>
          </rPr>
          <t xml:space="preserve">Nhập Trường TH Tây Hiên và Bắc Hiền thành Trường Tây Bắc Hiền
</t>
        </r>
      </text>
    </comment>
    <comment ref="D45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Thị trấn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63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Thị trấn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<sst xmlns="http://schemas.openxmlformats.org/spreadsheetml/2006/main" count="361" uniqueCount="220">
  <si>
    <t>Nội dung</t>
  </si>
  <si>
    <t>A</t>
  </si>
  <si>
    <t>B</t>
  </si>
  <si>
    <t>I</t>
  </si>
  <si>
    <t>II</t>
  </si>
  <si>
    <t>Chi thường xuyên</t>
  </si>
  <si>
    <t>TT</t>
  </si>
  <si>
    <t>Tổng cộng</t>
  </si>
  <si>
    <t>ĐVT: Triệu đồng</t>
  </si>
  <si>
    <t>Phụ lục kèm theo Quyết định số                  /QĐ-UBND ngày            tháng 12 năm 2018 của UBND huyện</t>
  </si>
  <si>
    <t>Đơn vị</t>
  </si>
  <si>
    <t>Biên chế (bao gồm NĐ 68)</t>
  </si>
  <si>
    <t>Biên chế có mặt đến thời điểm 30/10/2018</t>
  </si>
  <si>
    <t>Quỹ lương và các khoản đóng góp</t>
  </si>
  <si>
    <t>Các khoản chế độ chính sách khác</t>
  </si>
  <si>
    <t>Phụ cấp thâm niên theo NĐ 54/2011/NĐ-CP</t>
  </si>
  <si>
    <t>Hỗ trợ tiền ăn trưa trẻ 3, 4, 5 tuổi</t>
  </si>
  <si>
    <t xml:space="preserve">Hỗ trợ học sinh khuyết tật </t>
  </si>
  <si>
    <t>Trừ nguồn cải cách tiền lương theo quy định</t>
  </si>
  <si>
    <t>10% chi thường xuyên</t>
  </si>
  <si>
    <t>40% thu sự nghiệp</t>
  </si>
  <si>
    <t>Dự toán còn lại đã trừ tiết kiệm chi</t>
  </si>
  <si>
    <t>III</t>
  </si>
  <si>
    <t>IV</t>
  </si>
  <si>
    <t>Các chế độ chính sách khác</t>
  </si>
  <si>
    <t>KHỐI MẦM NON</t>
  </si>
  <si>
    <t>Định mức chi TX theo QĐ 87/2016/QĐ-UBND của  tỉnh</t>
  </si>
  <si>
    <t>MN Phong Mỹ 1</t>
  </si>
  <si>
    <t>MN Phong Mỹ 2</t>
  </si>
  <si>
    <t>MN Phong Xuân I</t>
  </si>
  <si>
    <t>MN Phong Xuân II</t>
  </si>
  <si>
    <t>MN Phong Sơn 1</t>
  </si>
  <si>
    <t>MN Phong Sơn 2</t>
  </si>
  <si>
    <t>MN Phong An 1</t>
  </si>
  <si>
    <t>MN Phong An 2</t>
  </si>
  <si>
    <t>MN Phong Hiền 1</t>
  </si>
  <si>
    <t>MN Phong Hiền 2</t>
  </si>
  <si>
    <t>Mầm non Hoa Sen</t>
  </si>
  <si>
    <t>MN Hoa Hướng Dương</t>
  </si>
  <si>
    <t>MN Phong Thu</t>
  </si>
  <si>
    <t>MN Phong Hoà 1</t>
  </si>
  <si>
    <t>MN Phong Hoà 2</t>
  </si>
  <si>
    <t>MN Phong Bình 1</t>
  </si>
  <si>
    <t>MN Phong Bình 2</t>
  </si>
  <si>
    <t>MN Phong Chương I</t>
  </si>
  <si>
    <t>MN Phong Chương II</t>
  </si>
  <si>
    <t>MN Điền Hương</t>
  </si>
  <si>
    <t>MN Điền Môn</t>
  </si>
  <si>
    <t>MN Điền Lôc</t>
  </si>
  <si>
    <t>MN Điền Hoà</t>
  </si>
  <si>
    <t>MN Điền Hải</t>
  </si>
  <si>
    <t>MN Phong Hải</t>
  </si>
  <si>
    <t>TIỂU HỌC</t>
  </si>
  <si>
    <t>TH Tân Mỹ</t>
  </si>
  <si>
    <t>TH Hòa Mỹ</t>
  </si>
  <si>
    <t>TH Phong Xuân</t>
  </si>
  <si>
    <t>TH Tây Bắc Sơn</t>
  </si>
  <si>
    <t>TH Đông Nam Sơn</t>
  </si>
  <si>
    <t>TH Phò Ninh</t>
  </si>
  <si>
    <t>TH Điền An</t>
  </si>
  <si>
    <t>TH Hương Lâm</t>
  </si>
  <si>
    <t>TH Đông Hiền</t>
  </si>
  <si>
    <t>TH Trần Quốc Toản</t>
  </si>
  <si>
    <t>TH Điền Hương</t>
  </si>
  <si>
    <t>TH Điền Lộc</t>
  </si>
  <si>
    <t>TH Điền Hải</t>
  </si>
  <si>
    <t>TH Phong Hải</t>
  </si>
  <si>
    <t>TRUNG HỌC CƠ SỞ</t>
  </si>
  <si>
    <t>THCS Phong Mỹ</t>
  </si>
  <si>
    <t>THCS Phong Xuân</t>
  </si>
  <si>
    <t>THCS Phong Sơn</t>
  </si>
  <si>
    <t>THCS Phong An</t>
  </si>
  <si>
    <t>THCS Phong Hiền</t>
  </si>
  <si>
    <t>THCS Nguyễn Duy</t>
  </si>
  <si>
    <t>THCS Phong Hòa</t>
  </si>
  <si>
    <t>THCS Phong Bình</t>
  </si>
  <si>
    <t>THCS Nguyễn Tri Phương</t>
  </si>
  <si>
    <t>THCS Điền Lộc</t>
  </si>
  <si>
    <t>THCS Điền Hải</t>
  </si>
  <si>
    <t>THCS Phong Hải</t>
  </si>
  <si>
    <t>TH Tây Bắc Hiền</t>
  </si>
  <si>
    <t>Số lớp/số trường = HS (A/B=C; 12/C=HSTT)</t>
  </si>
  <si>
    <t>Hệ số tăng thêm đối với các trường có số lớp dưới 12 lớp (12 lớp/C=HSTT)</t>
  </si>
  <si>
    <t>Kinh phí xóa mù chữ, chống tái mù chữ, phổ cập giáo dục</t>
  </si>
  <si>
    <t>Trung tâm Giáo dục nghề nghiệp - Giáo dục thường xuyên</t>
  </si>
  <si>
    <t>l</t>
  </si>
  <si>
    <t>t</t>
  </si>
  <si>
    <t>Hợp đồng (cấp dưỡng các Trường MN xã 257)</t>
  </si>
  <si>
    <t>Phụ lục kèm theo Báo cáo số                  /BC-UBND ngày            tháng 10 năm 2018 của UBND huyện</t>
  </si>
  <si>
    <t>V</t>
  </si>
  <si>
    <t>TH Phong Chương</t>
  </si>
  <si>
    <t>TH Phong Bình</t>
  </si>
  <si>
    <t>TH &amp; THCS Lê Văn Miến</t>
  </si>
  <si>
    <t>Phụ lục kèm theo Quyết định số 5826/QĐ-UBND ngày 17 tháng 12 năm 2018 của UBND huyện</t>
  </si>
  <si>
    <t>Văn phòng Giáo dục &amp; Đào tạo</t>
  </si>
  <si>
    <t xml:space="preserve">Kinh phí tổ chức thi nghề phổ thông cấp THCS </t>
  </si>
  <si>
    <t>Dự phòng nâng lương, các chính sách chế độ, tăng biên chế…</t>
  </si>
  <si>
    <t>Hỗ trợ tăng cường cơ sở vật chất UBND huyện phân bổ chi tiết</t>
  </si>
  <si>
    <t>Sở giao</t>
  </si>
  <si>
    <t>Cân đối</t>
  </si>
  <si>
    <t>SỐ TRƯỜNG</t>
  </si>
  <si>
    <t>SỐ LỚP</t>
  </si>
  <si>
    <t>Số lớp/số trường</t>
  </si>
  <si>
    <t>4</t>
  </si>
  <si>
    <t>5</t>
  </si>
  <si>
    <t>Kinh phí nâng cấp, sửa chữa trường lớp phục vụ kế hoạch xây dựng trường đạt chuẩn quốc gia từ nguồn mục tiêu tỉnh bổ sung ngoài định mức chi</t>
  </si>
  <si>
    <t>Phụ lục số: 06</t>
  </si>
  <si>
    <t>Phụ lục số: 07</t>
  </si>
  <si>
    <t>TỔNG SỐ</t>
  </si>
  <si>
    <t>TH&amp;THCS Nguyễn Lộ Trạch</t>
  </si>
  <si>
    <t>TH&amp;THCS Điền Hòa</t>
  </si>
  <si>
    <t>Quỹ lương và các khoản đóng góp (bao gồm lương cáp dưỡng vùng khó khăn)</t>
  </si>
  <si>
    <t xml:space="preserve">Phụ cấp ưu đãi cho giáo viên dạy trẻ khuyết thật theo Nghị định 28/NĐ-CP </t>
  </si>
  <si>
    <t>Phụ cấp ưu đãi cho giáo viên dạy trẻ khuyết tật theo NĐ28</t>
  </si>
  <si>
    <t>VI</t>
  </si>
  <si>
    <t>Bảo trì hệ thống máy RO các đơn vị sự nghiệp giáo dục công lập</t>
  </si>
  <si>
    <t>TỔNG CỘNG</t>
  </si>
  <si>
    <t>Lương cho hợp đồng cấp dưỡng</t>
  </si>
  <si>
    <t>Biên chế giao năm 2021</t>
  </si>
  <si>
    <t>Hỗ trợ kinh phí để đảm bảo mặt bằng chi thường xuyên cho khối sự nghiệp GD</t>
  </si>
  <si>
    <t>1</t>
  </si>
  <si>
    <t>2</t>
  </si>
  <si>
    <t>3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</si>
  <si>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</si>
  <si>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</si>
  <si>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</si>
  <si>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</si>
  <si>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</si>
  <si>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</si>
  <si>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</si>
  <si>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</si>
  <si>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</si>
  <si>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</si>
  <si>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</si>
  <si>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</si>
  <si>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</si>
  <si>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</si>
  <si>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</si>
  <si>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</si>
  <si>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</si>
  <si>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MN Điền Lộc</t>
  </si>
  <si>
    <t>23</t>
  </si>
  <si>
    <t>24</t>
  </si>
  <si>
    <t>25</t>
  </si>
  <si>
    <t>TH Phong Hoà 1</t>
  </si>
  <si>
    <t>TH Phong Hoà 2</t>
  </si>
  <si>
    <t>Khối THCS</t>
  </si>
  <si>
    <t>TH&amp;THCS NL Trạch</t>
  </si>
  <si>
    <t xml:space="preserve">Biên chế </t>
  </si>
  <si>
    <t>Hợp đồng NĐ 68</t>
  </si>
  <si>
    <t>DỰ TOÁN CHI TIẾT CHI SỰ NGHIỆP GIÁO DỤC NĂM 2022</t>
  </si>
  <si>
    <t>Biên chế giao năm 2022</t>
  </si>
  <si>
    <t>Biên chế giao có mặt đến 30/11/2021</t>
  </si>
  <si>
    <t>Dự toán năm 2022 còn lại đã trừ tiết kiệm chi</t>
  </si>
  <si>
    <t>Tổng dự toán năm 2022</t>
  </si>
  <si>
    <t>17=7+...+16</t>
  </si>
  <si>
    <t>18=9*10%</t>
  </si>
  <si>
    <t>20=15-16-17</t>
  </si>
  <si>
    <t>Lương hợp đồng NĐ 68</t>
  </si>
  <si>
    <t>Hợp đồng cấp dưỡng bãi ngang</t>
  </si>
  <si>
    <t>MN Phong Mỹ I</t>
  </si>
  <si>
    <t>MN Phong Mỹ II</t>
  </si>
  <si>
    <t>MN Phong Sơn I</t>
  </si>
  <si>
    <t>MN Phong Sơn II</t>
  </si>
  <si>
    <t>MN Phong Hiền I</t>
  </si>
  <si>
    <t>MN Phong Hiền II</t>
  </si>
  <si>
    <t>MN Hoa Sen</t>
  </si>
  <si>
    <t>MN Phong Bình I</t>
  </si>
  <si>
    <t>MN Phong Bình II</t>
  </si>
  <si>
    <t>TH</t>
  </si>
  <si>
    <t>THCS</t>
  </si>
  <si>
    <t>Kinh phí tiền lương và chi thường xuyên</t>
  </si>
  <si>
    <t>DỰ TOÁN CHI SỰ NGHIỆP GIÁO DỤC NĂM 2022</t>
  </si>
  <si>
    <t>DỰ TOÁN THU VÀ CẤP BÙ HỌC PHÍ NĂM 2022</t>
  </si>
  <si>
    <t>đvt: đồng</t>
  </si>
  <si>
    <t>Stt</t>
  </si>
  <si>
    <t>Chỉ tiêu</t>
  </si>
  <si>
    <t>HỌC KỲ 2 NĂM HỌC 2021-2022</t>
  </si>
  <si>
    <t>HỌC KỲ 1 NĂM HỌC 2022-2023 (Chưa có NQ HĐND tỉnh)</t>
  </si>
  <si>
    <t>TỔNG DỰ TOÁN HỌC PHÍ 2022</t>
  </si>
  <si>
    <t>40% thu học phí tính vào nguồn CCTL năm 2021</t>
  </si>
  <si>
    <t>Dự toán thu và cấp bù học phí còn lại sau khi trừ 40% CCTL</t>
  </si>
  <si>
    <t>Tổng số học sinh</t>
  </si>
  <si>
    <t xml:space="preserve">Đối tượng miễn </t>
  </si>
  <si>
    <t xml:space="preserve">Đối tượng giảm 50% </t>
  </si>
  <si>
    <t>Mức thu học phí  UBND quy định</t>
  </si>
  <si>
    <t>Số tháng miễn giảm (từ tháng 1-5/2022)</t>
  </si>
  <si>
    <t>Kinh phí cấp bù  học kỳ 2 năm học 2021-2022)</t>
  </si>
  <si>
    <t>Thu tại đơn vị</t>
  </si>
  <si>
    <t>Tổng dự toán học phí học kỳ 2 năm 2021-2022</t>
  </si>
  <si>
    <t>Số tháng miễn giảm (từ tháng 9-12/2022)</t>
  </si>
  <si>
    <t>Kinh phí cấp bù  học kỳ 1 năm học 2022-2023)</t>
  </si>
  <si>
    <t>Tổng dự toán học phí học kỳ 1 năm 2022-2023</t>
  </si>
  <si>
    <t>Tổng dự toán cấp bù học phí năm 2022</t>
  </si>
  <si>
    <t>Tổng dự toán thu học phí tại đơn vị năm 2022</t>
  </si>
  <si>
    <t>Tổng dự toán học phí năm 2021</t>
  </si>
  <si>
    <t>MN Phong Hoà I</t>
  </si>
  <si>
    <t>MN Phong Hoà II</t>
  </si>
  <si>
    <t>TH&amp;THCS Lê Văn Miến</t>
  </si>
  <si>
    <t>THCS N.T.Phương</t>
  </si>
  <si>
    <t xml:space="preserve">THCS Phong Hải </t>
  </si>
  <si>
    <t>Khối Mầm non</t>
  </si>
  <si>
    <t>Miền núi</t>
  </si>
  <si>
    <t>Lương Hợp đồng 68</t>
  </si>
  <si>
    <t>Số lớp</t>
  </si>
  <si>
    <t>Định mức</t>
  </si>
  <si>
    <t>Số tiền</t>
  </si>
  <si>
    <r>
      <t xml:space="preserve">Sự nghiệp Giáo dục và Đào tạo </t>
    </r>
    <r>
      <rPr>
        <i/>
        <sz val="12"/>
        <color theme="1"/>
        <rFont val="Times New Roman"/>
        <family val="1"/>
      </rPr>
      <t>(đã bao gồm quỹ tiền lương của lao động cấp dưỡng tại các Trường MN xã 257 là 1.190,000 trđ</t>
    </r>
    <r>
      <rPr>
        <b/>
        <sz val="12"/>
        <color theme="1"/>
        <rFont val="Times New Roman"/>
        <family val="1"/>
      </rPr>
      <t>)</t>
    </r>
  </si>
  <si>
    <t>Miễn giảm học phí và hỗ trợ chi phí học tập theo NĐ 81/2021/NĐ-CP</t>
  </si>
  <si>
    <t>Kinh phí thực hiện lộ trình đổi mới chương trình sách giáo khoa lớp 1-3, lớp 6-7</t>
  </si>
  <si>
    <t>Hỗ trợ mua sắm kinh phí trang thiết bị phục vụ dạy và học cho ngành giáo dục thuộc huyện quản lý</t>
  </si>
  <si>
    <t>Thí điểm ứng dụng công nghệ thực tế ảo VR vào giáo dục cấp mầm non</t>
  </si>
  <si>
    <t>Hệ thống Camera an ninh trường học</t>
  </si>
  <si>
    <t>Trừ nguồn cải cách tiền lương</t>
  </si>
  <si>
    <t>Phòng Lao động Thương Binh và Xã hội</t>
  </si>
  <si>
    <t>Phụ lục kèm theo Quyết định số         /QĐ-UBND ngày           tháng          năm 2021 của UBND huyện</t>
  </si>
  <si>
    <t>Phụ lục kèm theo Quyết định số         /QĐ-UBND ngày           tháng          năm 2020 của UBND huyện</t>
  </si>
  <si>
    <t>Hỗ trợ tiền ăn trưa trẻ Trường MN Scavi</t>
  </si>
  <si>
    <t>Kinh phí phổ cập bơi năm học 2021-2022</t>
  </si>
  <si>
    <t>Hoạt động đặc thù ngành giáo dục (Bao gồm kinh phí phổ cập giáo dục và kinh phí bồi dưỡng học sinh giỏi)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</si>
</sst>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* #,##0.00_);_(* \(#,##0.00\);_(* &quot;-&quot;??_);_(@_)"/>
    <numFmt numFmtId="165" formatCode="#,##0;[Red]#,##0"/>
    <numFmt numFmtId="166" formatCode="#,##0.0;[Red]#,##0.0"/>
    <numFmt numFmtId="167" formatCode="_(* #,##0.0_);_(* \(#,##0.0\);_(* &quot;-&quot;??_);_(@_)"/>
    <numFmt numFmtId="168" formatCode="#,##0.000"/>
    <numFmt numFmtId="169" formatCode="#,##0.0000"/>
    <numFmt numFmtId="170" formatCode="#,##0.000;[Red]#,##0.000"/>
    <numFmt numFmtId="171" formatCode="_(* #,##0_);_(* \(#,##0\);_(* &quot;-&quot;??_);_(@_)"/>
    <numFmt numFmtId="172" formatCode="_-* #,##0_-;\-* #,##0_-;_-* &quot;-&quot;??_-;_-@_-"/>
  </numFmts>
  <fonts count="33">
    <font>
      <sz val="11"/>
      <color theme="1"/>
      <name val="Arial"/>
      <family val="2"/>
      <scheme val="minor"/>
    </font>
    <font>
      <sz val="11"/>
      <color indexed="10"/>
      <name val="Times New Roman"/>
      <family val="1"/>
    </font>
    <font>
      <sz val="11"/>
      <color indexed="8"/>
      <name val="Calibri"/>
      <family val="2"/>
    </font>
    <font>
      <sz val="14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2"/>
      <name val=".VnTime"/>
      <family val="2"/>
    </font>
    <font>
      <sz val="8"/>
      <name val="Calibri"/>
      <family val="2"/>
    </font>
    <font>
      <i/>
      <sz val="1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b/>
      <sz val="9"/>
      <color theme="1"/>
      <name val="Times New Roman"/>
      <family val="1"/>
    </font>
    <font>
      <i/>
      <sz val="12"/>
      <color theme="1"/>
      <name val="Times New Roman"/>
      <family val="1"/>
    </font>
    <font>
      <sz val="9"/>
      <color indexed="10"/>
      <name val="Times New Roman"/>
      <family val="1"/>
    </font>
    <font>
      <b/>
      <sz val="9"/>
      <color indexed="10"/>
      <name val="Times New Roman"/>
      <family val="1"/>
    </font>
    <font>
      <sz val="11"/>
      <name val="UVnTime"/>
    </font>
    <font>
      <b/>
      <sz val="10"/>
      <color theme="1"/>
      <name val="Times New Roman"/>
      <family val="1"/>
    </font>
    <font>
      <sz val="10"/>
      <color indexed="10"/>
      <name val="Times New Roman"/>
      <family val="1"/>
    </font>
    <font>
      <sz val="12"/>
      <name val=".VnArial Narrow"/>
      <family val="2"/>
    </font>
    <font>
      <sz val="11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8">
    <xf numFmtId="0" fontId="0" fillId="0" borderId="0"/>
    <xf numFmtId="43" fontId="2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4" fillId="0" borderId="0"/>
    <xf numFmtId="0" fontId="14" fillId="0" borderId="0"/>
    <xf numFmtId="0" fontId="15" fillId="0" borderId="0"/>
    <xf numFmtId="167" fontId="28" fillId="0" borderId="0" applyFont="0" applyFill="0" applyBorder="0" applyAlignment="0" applyProtection="0"/>
    <xf numFmtId="0" fontId="2" fillId="0" borderId="0"/>
    <xf numFmtId="0" fontId="31" fillId="0" borderId="0"/>
    <xf numFmtId="170" fontId="31" fillId="0" borderId="0" applyFont="0" applyFill="0" applyBorder="0" applyAlignment="0" applyProtection="0"/>
    <xf numFmtId="0" fontId="8" fillId="0" borderId="0"/>
    <xf numFmtId="164" fontId="14" fillId="0" borderId="0" applyFont="0" applyFill="0" applyBorder="0" applyAlignment="0" applyProtection="0"/>
    <xf numFmtId="0" fontId="3" fillId="0" borderId="0"/>
    <xf numFmtId="164" fontId="32" fillId="0" borderId="0" applyFont="0" applyFill="0" applyBorder="0" applyAlignment="0" applyProtection="0"/>
    <xf numFmtId="0" fontId="14" fillId="0" borderId="0"/>
  </cellStyleXfs>
  <cellXfs count="158">
    <xf numFmtId="0" fontId="0" fillId="0" borderId="0" xfId="0"/>
    <xf numFmtId="3" fontId="10" fillId="0" borderId="1" xfId="0" applyNumberFormat="1" applyFont="1" applyFill="1" applyBorder="1" applyAlignment="1">
      <alignment horizontal="left" vertical="center" wrapText="1"/>
    </xf>
    <xf numFmtId="3" fontId="11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9" fillId="0" borderId="0" xfId="0" applyFont="1"/>
    <xf numFmtId="0" fontId="18" fillId="0" borderId="1" xfId="0" applyFont="1" applyBorder="1" applyAlignment="1">
      <alignment horizontal="left" vertical="center" wrapText="1"/>
    </xf>
    <xf numFmtId="0" fontId="18" fillId="0" borderId="0" xfId="0" applyFont="1"/>
    <xf numFmtId="3" fontId="19" fillId="0" borderId="0" xfId="0" applyNumberFormat="1" applyFont="1"/>
    <xf numFmtId="3" fontId="18" fillId="0" borderId="0" xfId="0" applyNumberFormat="1" applyFont="1"/>
    <xf numFmtId="3" fontId="23" fillId="0" borderId="1" xfId="0" applyNumberFormat="1" applyFont="1" applyFill="1" applyBorder="1" applyAlignment="1">
      <alignment horizontal="left" vertical="center" wrapText="1"/>
    </xf>
    <xf numFmtId="3" fontId="19" fillId="0" borderId="1" xfId="0" applyNumberFormat="1" applyFont="1" applyBorder="1" applyAlignment="1">
      <alignment horizontal="left" vertical="center" wrapText="1"/>
    </xf>
    <xf numFmtId="4" fontId="18" fillId="0" borderId="0" xfId="0" applyNumberFormat="1" applyFont="1"/>
    <xf numFmtId="4" fontId="19" fillId="0" borderId="0" xfId="0" applyNumberFormat="1" applyFont="1"/>
    <xf numFmtId="3" fontId="18" fillId="0" borderId="1" xfId="0" applyNumberFormat="1" applyFont="1" applyBorder="1" applyAlignment="1">
      <alignment horizontal="left" vertical="center" wrapText="1"/>
    </xf>
    <xf numFmtId="3" fontId="18" fillId="0" borderId="1" xfId="0" applyNumberFormat="1" applyFont="1" applyBorder="1" applyAlignment="1">
      <alignment vertical="center"/>
    </xf>
    <xf numFmtId="3" fontId="19" fillId="0" borderId="1" xfId="0" applyNumberFormat="1" applyFont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0" xfId="0" applyFont="1" applyFill="1"/>
    <xf numFmtId="0" fontId="20" fillId="0" borderId="0" xfId="0" applyFont="1" applyFill="1"/>
    <xf numFmtId="168" fontId="20" fillId="0" borderId="0" xfId="0" applyNumberFormat="1" applyFont="1" applyFill="1"/>
    <xf numFmtId="169" fontId="20" fillId="0" borderId="0" xfId="0" applyNumberFormat="1" applyFont="1" applyFill="1"/>
    <xf numFmtId="3" fontId="20" fillId="0" borderId="0" xfId="0" applyNumberFormat="1" applyFont="1" applyFill="1"/>
    <xf numFmtId="4" fontId="20" fillId="0" borderId="0" xfId="0" applyNumberFormat="1" applyFont="1" applyFill="1"/>
    <xf numFmtId="0" fontId="23" fillId="0" borderId="0" xfId="0" applyFont="1" applyFill="1"/>
    <xf numFmtId="0" fontId="21" fillId="0" borderId="0" xfId="0" applyFont="1" applyFill="1"/>
    <xf numFmtId="0" fontId="29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/>
    </xf>
    <xf numFmtId="3" fontId="24" fillId="0" borderId="1" xfId="0" applyNumberFormat="1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3" fontId="21" fillId="0" borderId="1" xfId="0" applyNumberFormat="1" applyFont="1" applyFill="1" applyBorder="1" applyAlignment="1">
      <alignment horizontal="right"/>
    </xf>
    <xf numFmtId="0" fontId="21" fillId="0" borderId="1" xfId="0" applyFont="1" applyFill="1" applyBorder="1"/>
    <xf numFmtId="3" fontId="21" fillId="0" borderId="1" xfId="0" applyNumberFormat="1" applyFont="1" applyFill="1" applyBorder="1"/>
    <xf numFmtId="168" fontId="21" fillId="0" borderId="1" xfId="0" applyNumberFormat="1" applyFont="1" applyFill="1" applyBorder="1"/>
    <xf numFmtId="4" fontId="21" fillId="0" borderId="0" xfId="0" applyNumberFormat="1" applyFont="1" applyFill="1"/>
    <xf numFmtId="3" fontId="20" fillId="0" borderId="1" xfId="0" applyNumberFormat="1" applyFont="1" applyFill="1" applyBorder="1"/>
    <xf numFmtId="168" fontId="20" fillId="0" borderId="1" xfId="0" applyNumberFormat="1" applyFont="1" applyFill="1" applyBorder="1"/>
    <xf numFmtId="0" fontId="1" fillId="0" borderId="1" xfId="0" applyFont="1" applyFill="1" applyBorder="1" applyAlignment="1">
      <alignment wrapText="1"/>
    </xf>
    <xf numFmtId="3" fontId="21" fillId="0" borderId="0" xfId="0" applyNumberFormat="1" applyFont="1" applyFill="1"/>
    <xf numFmtId="3" fontId="10" fillId="0" borderId="1" xfId="0" applyNumberFormat="1" applyFont="1" applyFill="1" applyBorder="1"/>
    <xf numFmtId="168" fontId="10" fillId="0" borderId="1" xfId="0" applyNumberFormat="1" applyFont="1" applyFill="1" applyBorder="1"/>
    <xf numFmtId="0" fontId="10" fillId="0" borderId="0" xfId="0" applyFont="1" applyFill="1"/>
    <xf numFmtId="3" fontId="20" fillId="2" borderId="1" xfId="0" applyNumberFormat="1" applyFont="1" applyFill="1" applyBorder="1"/>
    <xf numFmtId="0" fontId="29" fillId="0" borderId="1" xfId="0" applyFont="1" applyFill="1" applyBorder="1" applyAlignment="1">
      <alignment horizontal="center" vertical="center" wrapText="1"/>
    </xf>
    <xf numFmtId="3" fontId="20" fillId="0" borderId="1" xfId="0" applyNumberFormat="1" applyFont="1" applyFill="1" applyBorder="1" applyAlignment="1">
      <alignment horizontal="left" vertical="center" wrapText="1"/>
    </xf>
    <xf numFmtId="3" fontId="20" fillId="0" borderId="1" xfId="0" applyNumberFormat="1" applyFont="1" applyFill="1" applyBorder="1" applyAlignment="1">
      <alignment horizontal="center"/>
    </xf>
    <xf numFmtId="171" fontId="21" fillId="0" borderId="1" xfId="1" applyNumberFormat="1" applyFont="1" applyFill="1" applyBorder="1" applyAlignment="1">
      <alignment horizontal="center" vertical="center" wrapText="1"/>
    </xf>
    <xf numFmtId="3" fontId="21" fillId="0" borderId="1" xfId="1" applyNumberFormat="1" applyFont="1" applyFill="1" applyBorder="1" applyAlignment="1">
      <alignment horizontal="center" vertical="center" wrapText="1"/>
    </xf>
    <xf numFmtId="171" fontId="20" fillId="0" borderId="1" xfId="1" applyNumberFormat="1" applyFont="1" applyFill="1" applyBorder="1"/>
    <xf numFmtId="3" fontId="20" fillId="0" borderId="1" xfId="0" applyNumberFormat="1" applyFont="1" applyFill="1" applyBorder="1" applyAlignment="1">
      <alignment horizontal="center" vertical="center" wrapText="1"/>
    </xf>
    <xf numFmtId="3" fontId="20" fillId="0" borderId="1" xfId="0" applyNumberFormat="1" applyFont="1" applyFill="1" applyBorder="1" applyAlignment="1">
      <alignment horizontal="right"/>
    </xf>
    <xf numFmtId="3" fontId="7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19" fillId="0" borderId="0" xfId="0" applyFont="1" applyFill="1" applyAlignment="1">
      <alignment horizontal="left"/>
    </xf>
    <xf numFmtId="0" fontId="7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3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30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6" fillId="0" borderId="1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vertical="center" wrapText="1"/>
    </xf>
    <xf numFmtId="171" fontId="4" fillId="0" borderId="1" xfId="1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27" fillId="0" borderId="1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166" fontId="7" fillId="0" borderId="0" xfId="0" applyNumberFormat="1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171" fontId="7" fillId="0" borderId="0" xfId="1" applyNumberFormat="1" applyFont="1" applyFill="1" applyAlignment="1">
      <alignment vertical="center"/>
    </xf>
    <xf numFmtId="166" fontId="5" fillId="0" borderId="5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1" fontId="5" fillId="0" borderId="1" xfId="1" quotePrefix="1" applyNumberFormat="1" applyFont="1" applyFill="1" applyBorder="1" applyAlignment="1">
      <alignment horizontal="center" vertical="center" wrapText="1"/>
    </xf>
    <xf numFmtId="171" fontId="5" fillId="0" borderId="1" xfId="1" applyNumberFormat="1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right"/>
    </xf>
    <xf numFmtId="3" fontId="5" fillId="0" borderId="1" xfId="0" applyNumberFormat="1" applyFont="1" applyFill="1" applyBorder="1" applyAlignment="1">
      <alignment horizontal="right" vertical="center"/>
    </xf>
    <xf numFmtId="165" fontId="5" fillId="0" borderId="1" xfId="0" applyNumberFormat="1" applyFont="1" applyFill="1" applyBorder="1" applyAlignment="1">
      <alignment horizontal="right" vertical="center"/>
    </xf>
    <xf numFmtId="3" fontId="26" fillId="0" borderId="1" xfId="0" applyNumberFormat="1" applyFont="1" applyFill="1" applyBorder="1" applyAlignment="1">
      <alignment horizontal="right" vertical="center"/>
    </xf>
    <xf numFmtId="3" fontId="5" fillId="0" borderId="1" xfId="0" applyNumberFormat="1" applyFont="1" applyFill="1" applyBorder="1" applyAlignment="1">
      <alignment vertical="center"/>
    </xf>
    <xf numFmtId="0" fontId="5" fillId="0" borderId="3" xfId="0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right" vertical="center"/>
    </xf>
    <xf numFmtId="3" fontId="27" fillId="0" borderId="1" xfId="0" applyNumberFormat="1" applyFont="1" applyFill="1" applyBorder="1" applyAlignment="1">
      <alignment horizontal="right" vertical="center"/>
    </xf>
    <xf numFmtId="0" fontId="5" fillId="0" borderId="1" xfId="0" quotePrefix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right"/>
    </xf>
    <xf numFmtId="0" fontId="5" fillId="0" borderId="12" xfId="0" applyFont="1" applyFill="1" applyBorder="1" applyAlignment="1">
      <alignment horizontal="right"/>
    </xf>
    <xf numFmtId="0" fontId="4" fillId="0" borderId="1" xfId="0" applyFont="1" applyFill="1" applyBorder="1" applyAlignment="1">
      <alignment vertical="center" wrapText="1"/>
    </xf>
    <xf numFmtId="3" fontId="19" fillId="0" borderId="1" xfId="0" applyNumberFormat="1" applyFont="1" applyFill="1" applyBorder="1" applyAlignment="1">
      <alignment vertical="center"/>
    </xf>
    <xf numFmtId="0" fontId="20" fillId="0" borderId="1" xfId="0" applyFont="1" applyFill="1" applyBorder="1"/>
    <xf numFmtId="4" fontId="21" fillId="0" borderId="1" xfId="0" applyNumberFormat="1" applyFont="1" applyFill="1" applyBorder="1"/>
    <xf numFmtId="0" fontId="29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172" fontId="21" fillId="0" borderId="1" xfId="1" applyNumberFormat="1" applyFont="1" applyFill="1" applyBorder="1" applyAlignment="1">
      <alignment horizontal="right"/>
    </xf>
    <xf numFmtId="172" fontId="21" fillId="0" borderId="1" xfId="1" applyNumberFormat="1" applyFont="1" applyFill="1" applyBorder="1"/>
    <xf numFmtId="172" fontId="1" fillId="0" borderId="1" xfId="1" applyNumberFormat="1" applyFont="1" applyFill="1" applyBorder="1" applyAlignment="1">
      <alignment wrapText="1"/>
    </xf>
    <xf numFmtId="172" fontId="23" fillId="0" borderId="1" xfId="1" applyNumberFormat="1" applyFont="1" applyFill="1" applyBorder="1"/>
    <xf numFmtId="172" fontId="20" fillId="0" borderId="1" xfId="1" applyNumberFormat="1" applyFont="1" applyFill="1" applyBorder="1"/>
    <xf numFmtId="172" fontId="10" fillId="0" borderId="1" xfId="1" applyNumberFormat="1" applyFont="1" applyFill="1" applyBorder="1"/>
    <xf numFmtId="165" fontId="11" fillId="3" borderId="1" xfId="0" applyNumberFormat="1" applyFont="1" applyFill="1" applyBorder="1" applyAlignment="1">
      <alignment horizontal="right" vertical="center" wrapText="1"/>
    </xf>
    <xf numFmtId="165" fontId="10" fillId="3" borderId="1" xfId="0" applyNumberFormat="1" applyFont="1" applyFill="1" applyBorder="1" applyAlignment="1">
      <alignment horizontal="right" vertical="center"/>
    </xf>
    <xf numFmtId="165" fontId="11" fillId="3" borderId="1" xfId="0" applyNumberFormat="1" applyFont="1" applyFill="1" applyBorder="1" applyAlignment="1">
      <alignment horizontal="right" vertical="center"/>
    </xf>
    <xf numFmtId="0" fontId="19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3" fontId="18" fillId="0" borderId="1" xfId="0" applyNumberFormat="1" applyFont="1" applyFill="1" applyBorder="1" applyAlignment="1">
      <alignment horizontal="center" vertical="center" wrapText="1"/>
    </xf>
    <xf numFmtId="3" fontId="18" fillId="0" borderId="1" xfId="0" applyNumberFormat="1" applyFont="1" applyFill="1" applyBorder="1" applyAlignment="1">
      <alignment horizontal="left" vertical="center" wrapText="1"/>
    </xf>
    <xf numFmtId="168" fontId="19" fillId="0" borderId="1" xfId="0" applyNumberFormat="1" applyFont="1" applyFill="1" applyBorder="1" applyAlignment="1">
      <alignment horizontal="left" vertical="center" wrapText="1"/>
    </xf>
    <xf numFmtId="168" fontId="18" fillId="0" borderId="1" xfId="0" applyNumberFormat="1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2" fontId="18" fillId="0" borderId="0" xfId="0" applyNumberFormat="1" applyFont="1" applyFill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3" fontId="21" fillId="0" borderId="1" xfId="0" applyNumberFormat="1" applyFont="1" applyFill="1" applyBorder="1" applyAlignment="1">
      <alignment horizontal="center"/>
    </xf>
  </cellXfs>
  <cellStyles count="18">
    <cellStyle name="Comma" xfId="1" builtinId="3"/>
    <cellStyle name="Comma 14" xfId="14" xr:uid="{00000000-0005-0000-0000-000001000000}"/>
    <cellStyle name="Comma 2" xfId="12" xr:uid="{00000000-0005-0000-0000-000002000000}"/>
    <cellStyle name="Comma 2 3" xfId="2" xr:uid="{00000000-0005-0000-0000-000003000000}"/>
    <cellStyle name="Comma 26" xfId="9" xr:uid="{00000000-0005-0000-0000-000004000000}"/>
    <cellStyle name="Comma 3" xfId="3" xr:uid="{00000000-0005-0000-0000-000005000000}"/>
    <cellStyle name="Comma 33" xfId="16" xr:uid="{00000000-0005-0000-0000-000006000000}"/>
    <cellStyle name="Comma 4" xfId="4" xr:uid="{00000000-0005-0000-0000-000007000000}"/>
    <cellStyle name="Comma 5" xfId="5" xr:uid="{00000000-0005-0000-0000-000008000000}"/>
    <cellStyle name="Normal" xfId="0" builtinId="0"/>
    <cellStyle name="Normal 16" xfId="11" xr:uid="{00000000-0005-0000-0000-00000A000000}"/>
    <cellStyle name="Normal 2" xfId="6" xr:uid="{00000000-0005-0000-0000-00000B000000}"/>
    <cellStyle name="Normal 2 2 2" xfId="15" xr:uid="{00000000-0005-0000-0000-00000C000000}"/>
    <cellStyle name="Normal 2 3" xfId="10" xr:uid="{00000000-0005-0000-0000-00000D000000}"/>
    <cellStyle name="Normal 3" xfId="13" xr:uid="{00000000-0005-0000-0000-00000E000000}"/>
    <cellStyle name="Normal 4" xfId="7" xr:uid="{00000000-0005-0000-0000-00000F000000}"/>
    <cellStyle name="Normal 4 3" xfId="17" xr:uid="{00000000-0005-0000-0000-000010000000}"/>
    <cellStyle name="Normal 6" xfId="8" xr:uid="{00000000-0005-0000-0000-00001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cuments/Zalo%20Received%20Files/DU%20TOAN%20HDND%20HUYEN%20NAM%202020%20KEM%20THEO%20QUYET%20DINH%20CONG%20KHAI%20DU%20TOAN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wnloads/DU%20TOAN%20SO%202019%20PHA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D&#7920;%20TO&#193;N%20C&#7844;P%20B&#217;%20H&#7884;C%20PH&#205;%20N&#258;M%202022-N&#272;%208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 TIET PL 05"/>
      <sheetName val="BIEN CHE XA"/>
      <sheetName val="CHI XA PL04"/>
      <sheetName val="THU XA PL02"/>
      <sheetName val="THU KHAC XA"/>
      <sheetName val="TONG HOP THU PL01"/>
      <sheetName val="TONG HOP CHI PL03"/>
      <sheetName val="CHI QLHC PL05"/>
      <sheetName val="LUONG QLHC"/>
      <sheetName val="CHI TIET GIAO DUC"/>
      <sheetName val="TONG HOP GIAO DUC"/>
      <sheetName val="TIEN SD DAT VA SN KTTC"/>
      <sheetName val="TONG HOP XDCB VA SNKT"/>
      <sheetName val="THU SU NGHIEP"/>
    </sheetNames>
    <sheetDataSet>
      <sheetData sheetId="0" refreshError="1"/>
      <sheetData sheetId="1" refreshError="1"/>
      <sheetData sheetId="2" refreshError="1">
        <row r="36">
          <cell r="C36" t="e">
            <v>#REF!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>
        <row r="50">
          <cell r="K50">
            <v>503.70000000000005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28"/>
      <sheetName val="29.2"/>
      <sheetName val="DT thu CĐ"/>
      <sheetName val="DT.Thu S.Thue"/>
      <sheetName val="DT thu de lai"/>
      <sheetName val="DT chi B5"/>
      <sheetName val="Bieu 6"/>
      <sheetName val="Bieu 7"/>
      <sheetName val="BIEU 4b LUONG"/>
      <sheetName val="bIEU 8 - Luong"/>
      <sheetName val="Bieu 9"/>
      <sheetName val="Bieu 10"/>
      <sheetName val="Bieu11"/>
      <sheetName val="Bieu12"/>
      <sheetName val="Bieu 13"/>
      <sheetName val="BIEU 8 LUONG"/>
      <sheetName val="LUONG 1210-1390"/>
      <sheetName val="Bieu 10 HUYEN"/>
      <sheetName val="Sheet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6">
          <cell r="AL16">
            <v>13989.934271556805</v>
          </cell>
        </row>
      </sheetData>
      <sheetData sheetId="9"/>
      <sheetData sheetId="10"/>
      <sheetData sheetId="11"/>
      <sheetData sheetId="12"/>
      <sheetData sheetId="13"/>
      <sheetData sheetId="14">
        <row r="5">
          <cell r="D5">
            <v>99713</v>
          </cell>
        </row>
      </sheetData>
      <sheetData sheetId="15">
        <row r="10">
          <cell r="H10">
            <v>6350</v>
          </cell>
        </row>
      </sheetData>
      <sheetData sheetId="16">
        <row r="10">
          <cell r="H10">
            <v>6350</v>
          </cell>
        </row>
      </sheetData>
      <sheetData sheetId="17">
        <row r="16">
          <cell r="AL16">
            <v>13989.934271556805</v>
          </cell>
        </row>
      </sheetData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 bu"/>
    </sheetNames>
    <sheetDataSet>
      <sheetData sheetId="0" refreshError="1">
        <row r="13">
          <cell r="H13">
            <v>15</v>
          </cell>
          <cell r="I13">
            <v>12</v>
          </cell>
        </row>
        <row r="40">
          <cell r="H40">
            <v>20</v>
          </cell>
          <cell r="I40">
            <v>50</v>
          </cell>
        </row>
        <row r="42">
          <cell r="H42">
            <v>15</v>
          </cell>
          <cell r="I42">
            <v>25</v>
          </cell>
        </row>
        <row r="43">
          <cell r="H43">
            <v>18</v>
          </cell>
          <cell r="I43">
            <v>24</v>
          </cell>
        </row>
        <row r="44">
          <cell r="H44">
            <v>20</v>
          </cell>
          <cell r="I44">
            <v>22</v>
          </cell>
        </row>
        <row r="45">
          <cell r="H45">
            <v>5</v>
          </cell>
          <cell r="I45">
            <v>4</v>
          </cell>
        </row>
        <row r="46">
          <cell r="H46">
            <v>15</v>
          </cell>
          <cell r="I46">
            <v>12</v>
          </cell>
        </row>
        <row r="47">
          <cell r="H47">
            <v>15</v>
          </cell>
          <cell r="I47">
            <v>20</v>
          </cell>
        </row>
        <row r="48">
          <cell r="I48">
            <v>28</v>
          </cell>
        </row>
        <row r="50">
          <cell r="H50">
            <v>8</v>
          </cell>
          <cell r="I50">
            <v>11</v>
          </cell>
        </row>
        <row r="51">
          <cell r="H51">
            <v>12</v>
          </cell>
          <cell r="I51">
            <v>8</v>
          </cell>
        </row>
        <row r="52">
          <cell r="H52">
            <v>5</v>
          </cell>
          <cell r="I52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1"/>
  <sheetViews>
    <sheetView topLeftCell="B16" workbookViewId="0">
      <selection activeCell="B14" sqref="B14"/>
    </sheetView>
  </sheetViews>
  <sheetFormatPr defaultColWidth="9.125" defaultRowHeight="15.75"/>
  <cols>
    <col min="1" max="1" width="5.5" style="4" customWidth="1"/>
    <col min="2" max="2" width="37.5" style="4" customWidth="1"/>
    <col min="3" max="4" width="7.125" style="4" customWidth="1"/>
    <col min="5" max="5" width="7.5" style="4" customWidth="1"/>
    <col min="6" max="6" width="8" style="4" hidden="1" customWidth="1"/>
    <col min="7" max="7" width="7.5" style="4" hidden="1" customWidth="1"/>
    <col min="8" max="8" width="9.375" style="4" customWidth="1"/>
    <col min="9" max="9" width="7.875" style="4" customWidth="1"/>
    <col min="10" max="10" width="7.125" style="4" customWidth="1"/>
    <col min="11" max="11" width="8.5" style="4" customWidth="1"/>
    <col min="12" max="13" width="8.125" style="4" customWidth="1"/>
    <col min="14" max="14" width="10.125" style="4" customWidth="1"/>
    <col min="15" max="15" width="7.5" style="4" customWidth="1"/>
    <col min="16" max="16" width="6.5" style="4" customWidth="1"/>
    <col min="17" max="17" width="8.375" style="4" customWidth="1"/>
    <col min="18" max="18" width="6.5" style="4" customWidth="1"/>
    <col min="19" max="19" width="6.875" style="4" customWidth="1"/>
    <col min="20" max="20" width="8.5" style="4" customWidth="1"/>
    <col min="21" max="21" width="9.125" style="4"/>
    <col min="22" max="22" width="10.125" style="4" bestFit="1" customWidth="1"/>
    <col min="23" max="16384" width="9.125" style="4"/>
  </cols>
  <sheetData>
    <row r="1" spans="1:22" ht="15.75" customHeight="1">
      <c r="A1" s="131" t="s">
        <v>172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V1" s="4">
        <v>4092</v>
      </c>
    </row>
    <row r="2" spans="1:22" ht="15.75" hidden="1" customHeight="1">
      <c r="A2" s="133" t="s">
        <v>93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</row>
    <row r="3" spans="1:22" ht="15.75" hidden="1" customHeight="1">
      <c r="A3" s="133" t="s">
        <v>88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V3" s="7" t="e">
        <f>H8+H11+#REF!</f>
        <v>#REF!</v>
      </c>
    </row>
    <row r="4" spans="1:22" ht="15.75" customHeight="1">
      <c r="A4" s="130" t="s">
        <v>215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</row>
    <row r="5" spans="1:22" ht="15.75" customHeight="1">
      <c r="A5" s="4" t="s">
        <v>106</v>
      </c>
      <c r="I5" s="7"/>
      <c r="N5" s="7"/>
      <c r="S5" s="134" t="s">
        <v>8</v>
      </c>
      <c r="T5" s="134"/>
      <c r="V5" s="7">
        <f>25+22+15</f>
        <v>62</v>
      </c>
    </row>
    <row r="6" spans="1:22" ht="51.75" customHeight="1">
      <c r="A6" s="126" t="s">
        <v>6</v>
      </c>
      <c r="B6" s="126" t="s">
        <v>0</v>
      </c>
      <c r="C6" s="126" t="s">
        <v>118</v>
      </c>
      <c r="D6" s="126"/>
      <c r="E6" s="126"/>
      <c r="F6" s="126" t="s">
        <v>12</v>
      </c>
      <c r="G6" s="126"/>
      <c r="H6" s="126" t="s">
        <v>111</v>
      </c>
      <c r="I6" s="126" t="s">
        <v>5</v>
      </c>
      <c r="J6" s="126" t="s">
        <v>203</v>
      </c>
      <c r="K6" s="127" t="s">
        <v>14</v>
      </c>
      <c r="L6" s="128"/>
      <c r="M6" s="128"/>
      <c r="N6" s="128"/>
      <c r="O6" s="128"/>
      <c r="P6" s="129"/>
      <c r="Q6" s="126" t="s">
        <v>154</v>
      </c>
      <c r="R6" s="126" t="s">
        <v>213</v>
      </c>
      <c r="S6" s="126"/>
      <c r="T6" s="126" t="s">
        <v>21</v>
      </c>
      <c r="V6" s="4">
        <f>+V5*20</f>
        <v>1240</v>
      </c>
    </row>
    <row r="7" spans="1:22" ht="126">
      <c r="A7" s="126"/>
      <c r="B7" s="126"/>
      <c r="C7" s="121" t="s">
        <v>148</v>
      </c>
      <c r="D7" s="121" t="s">
        <v>149</v>
      </c>
      <c r="E7" s="121" t="s">
        <v>87</v>
      </c>
      <c r="F7" s="121" t="s">
        <v>11</v>
      </c>
      <c r="G7" s="121" t="s">
        <v>87</v>
      </c>
      <c r="H7" s="126"/>
      <c r="I7" s="126"/>
      <c r="J7" s="126"/>
      <c r="K7" s="121" t="s">
        <v>115</v>
      </c>
      <c r="L7" s="121" t="s">
        <v>15</v>
      </c>
      <c r="M7" s="121" t="s">
        <v>113</v>
      </c>
      <c r="N7" s="121" t="s">
        <v>208</v>
      </c>
      <c r="O7" s="121" t="s">
        <v>16</v>
      </c>
      <c r="P7" s="121" t="s">
        <v>17</v>
      </c>
      <c r="Q7" s="126"/>
      <c r="R7" s="121" t="s">
        <v>19</v>
      </c>
      <c r="S7" s="121" t="s">
        <v>20</v>
      </c>
      <c r="T7" s="126"/>
      <c r="V7" s="7"/>
    </row>
    <row r="8" spans="1:22" s="6" customFormat="1" ht="63">
      <c r="A8" s="20" t="s">
        <v>3</v>
      </c>
      <c r="B8" s="5" t="s">
        <v>207</v>
      </c>
      <c r="C8" s="14">
        <f>1828-D8</f>
        <v>1761</v>
      </c>
      <c r="D8" s="14">
        <v>67</v>
      </c>
      <c r="E8" s="14">
        <v>27</v>
      </c>
      <c r="F8" s="14">
        <f>C8</f>
        <v>1761</v>
      </c>
      <c r="G8" s="14">
        <v>24</v>
      </c>
      <c r="H8" s="14">
        <f>'CHI TIET GIAO DUC'!I8+'CHI TIET GIAO DUC'!K8</f>
        <v>191705.88240999996</v>
      </c>
      <c r="I8" s="14">
        <f>'CHI TIET GIAO DUC'!L9+'CHI TIET GIAO DUC'!L35+'CHI TIET GIAO DUC'!L55</f>
        <v>23517</v>
      </c>
      <c r="J8" s="14">
        <f>+D8*75</f>
        <v>5025</v>
      </c>
      <c r="K8" s="14">
        <f>'CHI TIET GIAO DUC'!N8</f>
        <v>450</v>
      </c>
      <c r="L8" s="14">
        <f>'CHI TIET GIAO DUC'!O8</f>
        <v>26990</v>
      </c>
      <c r="M8" s="14">
        <f>+'CHI TIET GIAO DUC'!P8</f>
        <v>2571.1595999999995</v>
      </c>
      <c r="N8" s="14">
        <f>'CHI TIET GIAO DUC'!Q8</f>
        <v>2000</v>
      </c>
      <c r="O8" s="14">
        <f>'CHI TIET GIAO DUC'!R8</f>
        <v>2012</v>
      </c>
      <c r="P8" s="14">
        <v>530</v>
      </c>
      <c r="Q8" s="14">
        <f>SUM(H8:P8)</f>
        <v>254801.04200999998</v>
      </c>
      <c r="R8" s="14">
        <f>(I8+J8)*10%</f>
        <v>2854.2000000000003</v>
      </c>
      <c r="S8" s="14">
        <f>'CHI TIET GIAO DUC'!V8</f>
        <v>1809</v>
      </c>
      <c r="T8" s="14">
        <f>Q8-R8-S8</f>
        <v>250137.84200999996</v>
      </c>
      <c r="U8" s="8"/>
      <c r="V8" s="11"/>
    </row>
    <row r="9" spans="1:22">
      <c r="A9" s="122" t="s">
        <v>4</v>
      </c>
      <c r="B9" s="123" t="s">
        <v>214</v>
      </c>
      <c r="C9" s="14">
        <f>+C10</f>
        <v>0</v>
      </c>
      <c r="D9" s="14">
        <f t="shared" ref="D9:S9" si="0">+D10</f>
        <v>0</v>
      </c>
      <c r="E9" s="14">
        <f t="shared" si="0"/>
        <v>0</v>
      </c>
      <c r="F9" s="14">
        <f t="shared" si="0"/>
        <v>0</v>
      </c>
      <c r="G9" s="14">
        <f t="shared" si="0"/>
        <v>0</v>
      </c>
      <c r="H9" s="14">
        <f t="shared" si="0"/>
        <v>0</v>
      </c>
      <c r="I9" s="14">
        <f t="shared" si="0"/>
        <v>0</v>
      </c>
      <c r="J9" s="14">
        <f t="shared" si="0"/>
        <v>0</v>
      </c>
      <c r="K9" s="14">
        <f t="shared" si="0"/>
        <v>0</v>
      </c>
      <c r="L9" s="14">
        <f t="shared" si="0"/>
        <v>0</v>
      </c>
      <c r="M9" s="14">
        <f t="shared" si="0"/>
        <v>0</v>
      </c>
      <c r="N9" s="14">
        <f t="shared" si="0"/>
        <v>500</v>
      </c>
      <c r="O9" s="14">
        <f t="shared" si="0"/>
        <v>0</v>
      </c>
      <c r="P9" s="14">
        <f t="shared" si="0"/>
        <v>0</v>
      </c>
      <c r="Q9" s="14">
        <f>SUM(H9:P9)</f>
        <v>500</v>
      </c>
      <c r="R9" s="14">
        <f t="shared" si="0"/>
        <v>0</v>
      </c>
      <c r="S9" s="14">
        <f t="shared" si="0"/>
        <v>0</v>
      </c>
      <c r="T9" s="14">
        <f t="shared" ref="T9:T10" si="1">Q9-R9-S9</f>
        <v>500</v>
      </c>
      <c r="V9" s="12"/>
    </row>
    <row r="10" spans="1:22" s="6" customFormat="1" ht="31.5">
      <c r="A10" s="20"/>
      <c r="B10" s="120" t="s">
        <v>208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>
        <v>500</v>
      </c>
      <c r="O10" s="14"/>
      <c r="P10" s="14"/>
      <c r="Q10" s="14">
        <f>SUM(H10:P10)</f>
        <v>500</v>
      </c>
      <c r="R10" s="14"/>
      <c r="S10" s="14"/>
      <c r="T10" s="14">
        <f t="shared" si="1"/>
        <v>500</v>
      </c>
      <c r="U10" s="8"/>
      <c r="V10" s="11"/>
    </row>
    <row r="11" spans="1:22">
      <c r="A11" s="122" t="s">
        <v>22</v>
      </c>
      <c r="B11" s="123" t="s">
        <v>94</v>
      </c>
      <c r="C11" s="14">
        <f>SUM(C12:C14)</f>
        <v>0</v>
      </c>
      <c r="D11" s="14">
        <f t="shared" ref="D11:T11" si="2">SUM(D12:D14)</f>
        <v>0</v>
      </c>
      <c r="E11" s="14">
        <f t="shared" si="2"/>
        <v>0</v>
      </c>
      <c r="F11" s="14">
        <f t="shared" si="2"/>
        <v>0</v>
      </c>
      <c r="G11" s="14">
        <f t="shared" si="2"/>
        <v>0</v>
      </c>
      <c r="H11" s="14">
        <f t="shared" si="2"/>
        <v>0</v>
      </c>
      <c r="I11" s="14">
        <f t="shared" si="2"/>
        <v>700</v>
      </c>
      <c r="J11" s="14">
        <f t="shared" si="2"/>
        <v>0</v>
      </c>
      <c r="K11" s="14">
        <f t="shared" si="2"/>
        <v>0</v>
      </c>
      <c r="L11" s="14">
        <f t="shared" si="2"/>
        <v>0</v>
      </c>
      <c r="M11" s="14">
        <f t="shared" si="2"/>
        <v>0</v>
      </c>
      <c r="N11" s="14">
        <f t="shared" si="2"/>
        <v>0</v>
      </c>
      <c r="O11" s="14">
        <f t="shared" si="2"/>
        <v>288</v>
      </c>
      <c r="P11" s="14">
        <f t="shared" si="2"/>
        <v>0</v>
      </c>
      <c r="Q11" s="14">
        <f t="shared" si="2"/>
        <v>988</v>
      </c>
      <c r="R11" s="14">
        <f t="shared" si="2"/>
        <v>60</v>
      </c>
      <c r="S11" s="14">
        <f t="shared" si="2"/>
        <v>0</v>
      </c>
      <c r="T11" s="14">
        <f t="shared" si="2"/>
        <v>928</v>
      </c>
      <c r="V11" s="12"/>
    </row>
    <row r="12" spans="1:22" ht="47.25">
      <c r="A12" s="21">
        <v>1</v>
      </c>
      <c r="B12" s="124" t="s">
        <v>219</v>
      </c>
      <c r="C12" s="15"/>
      <c r="D12" s="15"/>
      <c r="E12" s="15"/>
      <c r="F12" s="15"/>
      <c r="G12" s="15"/>
      <c r="H12" s="15"/>
      <c r="I12" s="15">
        <v>600</v>
      </c>
      <c r="J12" s="15"/>
      <c r="K12" s="15"/>
      <c r="L12" s="15"/>
      <c r="M12" s="15"/>
      <c r="N12" s="15"/>
      <c r="O12" s="15"/>
      <c r="P12" s="15"/>
      <c r="Q12" s="15">
        <f>+I12</f>
        <v>600</v>
      </c>
      <c r="R12" s="15">
        <f>I12*10%</f>
        <v>60</v>
      </c>
      <c r="S12" s="15"/>
      <c r="T12" s="15">
        <f>Q12-R12-S12</f>
        <v>540</v>
      </c>
      <c r="V12" s="12"/>
    </row>
    <row r="13" spans="1:22" ht="47.25" customHeight="1">
      <c r="A13" s="21">
        <v>3</v>
      </c>
      <c r="B13" s="124" t="s">
        <v>218</v>
      </c>
      <c r="C13" s="15"/>
      <c r="D13" s="15"/>
      <c r="E13" s="15"/>
      <c r="F13" s="15"/>
      <c r="G13" s="15"/>
      <c r="H13" s="15"/>
      <c r="I13" s="15">
        <v>100</v>
      </c>
      <c r="J13" s="15"/>
      <c r="K13" s="15"/>
      <c r="L13" s="15"/>
      <c r="M13" s="15"/>
      <c r="N13" s="15"/>
      <c r="O13" s="15"/>
      <c r="P13" s="15"/>
      <c r="Q13" s="15">
        <f>+I13</f>
        <v>100</v>
      </c>
      <c r="R13" s="15"/>
      <c r="S13" s="15"/>
      <c r="T13" s="15">
        <f t="shared" ref="T13" si="3">Q13-R13-S13</f>
        <v>100</v>
      </c>
      <c r="V13" s="12"/>
    </row>
    <row r="14" spans="1:22" ht="47.25" customHeight="1">
      <c r="A14" s="21">
        <v>2</v>
      </c>
      <c r="B14" s="124" t="s">
        <v>217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>
        <v>288</v>
      </c>
      <c r="P14" s="15"/>
      <c r="Q14" s="15">
        <f>SUM(H14:P14)</f>
        <v>288</v>
      </c>
      <c r="R14" s="15">
        <f>I14*10%</f>
        <v>0</v>
      </c>
      <c r="S14" s="15"/>
      <c r="T14" s="15">
        <f>Q14-R14-S14</f>
        <v>288</v>
      </c>
      <c r="V14" s="12"/>
    </row>
    <row r="15" spans="1:22" s="6" customFormat="1" ht="31.5">
      <c r="A15" s="20" t="s">
        <v>23</v>
      </c>
      <c r="B15" s="13" t="s">
        <v>84</v>
      </c>
      <c r="C15" s="14">
        <f>C16+C17+C18</f>
        <v>50</v>
      </c>
      <c r="D15" s="14">
        <f>+D16</f>
        <v>5</v>
      </c>
      <c r="E15" s="14">
        <f t="shared" ref="E15:H15" si="4">E16+E17+E18</f>
        <v>0</v>
      </c>
      <c r="F15" s="14">
        <f t="shared" si="4"/>
        <v>50</v>
      </c>
      <c r="G15" s="14">
        <f t="shared" si="4"/>
        <v>0</v>
      </c>
      <c r="H15" s="14" t="e">
        <f t="shared" si="4"/>
        <v>#REF!</v>
      </c>
      <c r="I15" s="14">
        <f>I16+I17+I18</f>
        <v>1030</v>
      </c>
      <c r="J15" s="14">
        <f>J16+J17+J18</f>
        <v>375</v>
      </c>
      <c r="K15" s="14"/>
      <c r="L15" s="14">
        <f>L16+L17+L18</f>
        <v>0</v>
      </c>
      <c r="M15" s="14"/>
      <c r="N15" s="14">
        <f t="shared" ref="N15:P15" si="5">N16+N17+N18</f>
        <v>0</v>
      </c>
      <c r="O15" s="14">
        <f t="shared" si="5"/>
        <v>0</v>
      </c>
      <c r="P15" s="14">
        <f t="shared" si="5"/>
        <v>0</v>
      </c>
      <c r="Q15" s="14" t="e">
        <f>Q16+Q17+Q18</f>
        <v>#REF!</v>
      </c>
      <c r="R15" s="14">
        <f>R16+R17+R18</f>
        <v>103</v>
      </c>
      <c r="S15" s="14">
        <f t="shared" ref="S15:T15" si="6">S16+S17+S18</f>
        <v>50</v>
      </c>
      <c r="T15" s="14" t="e">
        <f t="shared" si="6"/>
        <v>#REF!</v>
      </c>
    </row>
    <row r="16" spans="1:22">
      <c r="A16" s="21">
        <v>1</v>
      </c>
      <c r="B16" s="10" t="s">
        <v>171</v>
      </c>
      <c r="C16" s="15">
        <v>50</v>
      </c>
      <c r="D16" s="15">
        <v>5</v>
      </c>
      <c r="E16" s="15">
        <v>0</v>
      </c>
      <c r="F16" s="15">
        <f>C16</f>
        <v>50</v>
      </c>
      <c r="G16" s="15">
        <v>0</v>
      </c>
      <c r="H16" s="15" t="e">
        <f>#REF!/1000000</f>
        <v>#REF!</v>
      </c>
      <c r="I16" s="15">
        <f>+C16*17</f>
        <v>850</v>
      </c>
      <c r="J16" s="15">
        <f>+D16*75</f>
        <v>375</v>
      </c>
      <c r="K16" s="15"/>
      <c r="L16" s="15"/>
      <c r="M16" s="15"/>
      <c r="N16" s="15"/>
      <c r="O16" s="15"/>
      <c r="P16" s="15"/>
      <c r="Q16" s="15" t="e">
        <f>SUM(H16:P16)</f>
        <v>#REF!</v>
      </c>
      <c r="R16" s="15">
        <f>+I16*0.1</f>
        <v>85</v>
      </c>
      <c r="S16" s="105">
        <v>50</v>
      </c>
      <c r="T16" s="15" t="e">
        <f>Q16-R16-S16</f>
        <v>#REF!</v>
      </c>
    </row>
    <row r="17" spans="1:25" ht="31.5">
      <c r="A17" s="21">
        <v>2</v>
      </c>
      <c r="B17" s="124" t="s">
        <v>83</v>
      </c>
      <c r="C17" s="15"/>
      <c r="D17" s="15"/>
      <c r="E17" s="15"/>
      <c r="F17" s="15"/>
      <c r="G17" s="15"/>
      <c r="H17" s="15"/>
      <c r="I17" s="15">
        <v>120</v>
      </c>
      <c r="J17" s="15"/>
      <c r="K17" s="15"/>
      <c r="L17" s="15"/>
      <c r="M17" s="15"/>
      <c r="N17" s="15"/>
      <c r="O17" s="15"/>
      <c r="P17" s="15"/>
      <c r="Q17" s="15">
        <f t="shared" ref="Q17" si="7">SUM(H17:P17)</f>
        <v>120</v>
      </c>
      <c r="R17" s="15">
        <f t="shared" ref="R17:R18" si="8">I17*10%</f>
        <v>12</v>
      </c>
      <c r="S17" s="15"/>
      <c r="T17" s="15">
        <f>Q17-R17-S17</f>
        <v>108</v>
      </c>
      <c r="V17" s="4">
        <f>1055+383.5</f>
        <v>1438.5</v>
      </c>
    </row>
    <row r="18" spans="1:25">
      <c r="A18" s="21">
        <v>3</v>
      </c>
      <c r="B18" s="124" t="s">
        <v>95</v>
      </c>
      <c r="C18" s="15"/>
      <c r="D18" s="15"/>
      <c r="E18" s="15"/>
      <c r="F18" s="15"/>
      <c r="G18" s="15"/>
      <c r="H18" s="15"/>
      <c r="I18" s="15">
        <v>60</v>
      </c>
      <c r="J18" s="15"/>
      <c r="K18" s="15"/>
      <c r="L18" s="15"/>
      <c r="M18" s="15"/>
      <c r="N18" s="15"/>
      <c r="O18" s="15"/>
      <c r="P18" s="15"/>
      <c r="Q18" s="15">
        <f t="shared" ref="Q18" si="9">SUM(H18:P18)</f>
        <v>60</v>
      </c>
      <c r="R18" s="15">
        <f t="shared" si="8"/>
        <v>6</v>
      </c>
      <c r="S18" s="15"/>
      <c r="T18" s="15">
        <f>Q18-R18-S18</f>
        <v>54</v>
      </c>
    </row>
    <row r="19" spans="1:25" ht="31.5">
      <c r="A19" s="20" t="s">
        <v>89</v>
      </c>
      <c r="B19" s="125" t="s">
        <v>96</v>
      </c>
      <c r="C19" s="15"/>
      <c r="D19" s="15"/>
      <c r="E19" s="15"/>
      <c r="F19" s="15"/>
      <c r="G19" s="15"/>
      <c r="H19" s="15"/>
      <c r="I19" s="14">
        <f>1000+1983-500-320-20-150</f>
        <v>1993</v>
      </c>
      <c r="J19" s="14"/>
      <c r="K19" s="14"/>
      <c r="L19" s="14"/>
      <c r="M19" s="14"/>
      <c r="N19" s="14"/>
      <c r="O19" s="14"/>
      <c r="P19" s="14"/>
      <c r="Q19" s="14">
        <f>SUM(H19:P19)</f>
        <v>1993</v>
      </c>
      <c r="R19" s="14">
        <f>+Q19*0.1</f>
        <v>199.3</v>
      </c>
      <c r="S19" s="14"/>
      <c r="T19" s="14">
        <f>Q19-R19</f>
        <v>1793.7</v>
      </c>
    </row>
    <row r="20" spans="1:25" ht="31.5">
      <c r="A20" s="20" t="s">
        <v>114</v>
      </c>
      <c r="B20" s="5" t="s">
        <v>97</v>
      </c>
      <c r="C20" s="14">
        <f t="shared" ref="C20:I20" si="10">SUM(C21:C22)</f>
        <v>0</v>
      </c>
      <c r="D20" s="14"/>
      <c r="E20" s="14">
        <f t="shared" si="10"/>
        <v>0</v>
      </c>
      <c r="F20" s="14">
        <f t="shared" si="10"/>
        <v>0</v>
      </c>
      <c r="G20" s="14">
        <f t="shared" si="10"/>
        <v>0</v>
      </c>
      <c r="H20" s="14">
        <f t="shared" si="10"/>
        <v>0</v>
      </c>
      <c r="I20" s="14">
        <f t="shared" si="10"/>
        <v>0</v>
      </c>
      <c r="J20" s="14"/>
      <c r="K20" s="14"/>
      <c r="L20" s="14">
        <f t="shared" ref="L20:P20" si="11">SUM(L21:L22)</f>
        <v>0</v>
      </c>
      <c r="M20" s="14"/>
      <c r="N20" s="14">
        <f t="shared" si="11"/>
        <v>0</v>
      </c>
      <c r="O20" s="14">
        <f t="shared" si="11"/>
        <v>0</v>
      </c>
      <c r="P20" s="14">
        <f t="shared" si="11"/>
        <v>0</v>
      </c>
      <c r="Q20" s="14">
        <f>SUM(Q21:Q25)</f>
        <v>22460</v>
      </c>
      <c r="R20" s="14">
        <f>SUM(R21:R24)</f>
        <v>0</v>
      </c>
      <c r="S20" s="14">
        <f>SUM(S21:S24)</f>
        <v>0</v>
      </c>
      <c r="T20" s="14">
        <f>SUM(T21:T25)</f>
        <v>22460</v>
      </c>
    </row>
    <row r="21" spans="1:25" ht="47.25">
      <c r="A21" s="21">
        <v>1</v>
      </c>
      <c r="B21" s="124" t="s">
        <v>210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>
        <v>5700</v>
      </c>
      <c r="R21" s="15"/>
      <c r="S21" s="15"/>
      <c r="T21" s="15">
        <f t="shared" ref="T21:T25" si="12">Q21</f>
        <v>5700</v>
      </c>
    </row>
    <row r="22" spans="1:25" ht="63">
      <c r="A22" s="21">
        <v>2</v>
      </c>
      <c r="B22" s="124" t="s">
        <v>105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>
        <v>7200</v>
      </c>
      <c r="R22" s="15"/>
      <c r="S22" s="15"/>
      <c r="T22" s="15">
        <f t="shared" si="12"/>
        <v>7200</v>
      </c>
    </row>
    <row r="23" spans="1:25" ht="31.5">
      <c r="A23" s="21">
        <v>3</v>
      </c>
      <c r="B23" s="124" t="s">
        <v>209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>
        <v>8600</v>
      </c>
      <c r="R23" s="15"/>
      <c r="S23" s="15"/>
      <c r="T23" s="15">
        <f t="shared" si="12"/>
        <v>8600</v>
      </c>
    </row>
    <row r="24" spans="1:25" ht="19.899999999999999" customHeight="1">
      <c r="A24" s="21">
        <v>4</v>
      </c>
      <c r="B24" s="124" t="s">
        <v>212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>
        <v>500</v>
      </c>
      <c r="R24" s="15"/>
      <c r="S24" s="15"/>
      <c r="T24" s="15">
        <f t="shared" si="12"/>
        <v>500</v>
      </c>
    </row>
    <row r="25" spans="1:25" ht="31.5">
      <c r="A25" s="21">
        <v>5</v>
      </c>
      <c r="B25" s="124" t="s">
        <v>211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>
        <v>460</v>
      </c>
      <c r="R25" s="15"/>
      <c r="S25" s="15"/>
      <c r="T25" s="15">
        <f t="shared" si="12"/>
        <v>460</v>
      </c>
    </row>
    <row r="26" spans="1:25" s="6" customFormat="1">
      <c r="A26" s="19"/>
      <c r="B26" s="19" t="s">
        <v>7</v>
      </c>
      <c r="C26" s="14">
        <f>C8+C11+C15+C19+C20+C9</f>
        <v>1811</v>
      </c>
      <c r="D26" s="14">
        <f t="shared" ref="D26:T26" si="13">D8+D11+D15+D19+D20+D9</f>
        <v>72</v>
      </c>
      <c r="E26" s="14">
        <f t="shared" si="13"/>
        <v>27</v>
      </c>
      <c r="F26" s="14">
        <f t="shared" si="13"/>
        <v>1811</v>
      </c>
      <c r="G26" s="14">
        <f t="shared" si="13"/>
        <v>24</v>
      </c>
      <c r="H26" s="14" t="e">
        <f t="shared" si="13"/>
        <v>#REF!</v>
      </c>
      <c r="I26" s="14">
        <f t="shared" si="13"/>
        <v>27240</v>
      </c>
      <c r="J26" s="14">
        <f t="shared" si="13"/>
        <v>5400</v>
      </c>
      <c r="K26" s="14">
        <f t="shared" si="13"/>
        <v>450</v>
      </c>
      <c r="L26" s="14">
        <f t="shared" si="13"/>
        <v>26990</v>
      </c>
      <c r="M26" s="14">
        <f t="shared" si="13"/>
        <v>2571.1595999999995</v>
      </c>
      <c r="N26" s="14">
        <f t="shared" si="13"/>
        <v>2500</v>
      </c>
      <c r="O26" s="14">
        <f t="shared" si="13"/>
        <v>2300</v>
      </c>
      <c r="P26" s="14">
        <f t="shared" si="13"/>
        <v>530</v>
      </c>
      <c r="Q26" s="14" t="e">
        <f>Q8+Q11+Q15+Q19+Q20+Q9</f>
        <v>#REF!</v>
      </c>
      <c r="R26" s="14">
        <f>R8+R11+R15+R19+R20+R9</f>
        <v>3216.5000000000005</v>
      </c>
      <c r="S26" s="14">
        <f t="shared" si="13"/>
        <v>1859</v>
      </c>
      <c r="T26" s="14" t="e">
        <f t="shared" si="13"/>
        <v>#REF!</v>
      </c>
      <c r="U26" s="6">
        <f>265800+5700+7200+8600</f>
        <v>287300</v>
      </c>
    </row>
    <row r="27" spans="1:25">
      <c r="U27" s="7" t="e">
        <f>+U26-Q26</f>
        <v>#REF!</v>
      </c>
      <c r="X27" s="7">
        <f>250400</f>
        <v>250400</v>
      </c>
      <c r="Y27" s="4" t="s">
        <v>98</v>
      </c>
    </row>
    <row r="28" spans="1:25">
      <c r="X28" s="7" t="e">
        <f>X27-T26</f>
        <v>#REF!</v>
      </c>
      <c r="Y28" s="4" t="s">
        <v>99</v>
      </c>
    </row>
    <row r="29" spans="1:25">
      <c r="V29" s="7" t="e">
        <f>R26+'[1]CHI QLHC PL05'!K50+'[1]CHI XA PL04'!C36</f>
        <v>#REF!</v>
      </c>
      <c r="X29" s="7"/>
    </row>
    <row r="30" spans="1:25">
      <c r="V30" s="4">
        <f>'[2]LUONG 1210-1390'!$H$10</f>
        <v>6350</v>
      </c>
      <c r="X30" s="7"/>
    </row>
    <row r="31" spans="1:25">
      <c r="I31" s="7"/>
      <c r="O31" s="7"/>
      <c r="V31" s="7" t="e">
        <f>V29-V30</f>
        <v>#REF!</v>
      </c>
    </row>
  </sheetData>
  <mergeCells count="16">
    <mergeCell ref="A4:T4"/>
    <mergeCell ref="A1:T1"/>
    <mergeCell ref="A2:T2"/>
    <mergeCell ref="A3:T3"/>
    <mergeCell ref="S5:T5"/>
    <mergeCell ref="J6:J7"/>
    <mergeCell ref="Q6:Q7"/>
    <mergeCell ref="R6:S6"/>
    <mergeCell ref="T6:T7"/>
    <mergeCell ref="K6:P6"/>
    <mergeCell ref="I6:I7"/>
    <mergeCell ref="C6:E6"/>
    <mergeCell ref="A6:A7"/>
    <mergeCell ref="B6:B7"/>
    <mergeCell ref="F6:G6"/>
    <mergeCell ref="H6:H7"/>
  </mergeCells>
  <phoneticPr fontId="16" type="noConversion"/>
  <printOptions horizontalCentered="1"/>
  <pageMargins left="0.19685039370078741" right="0" top="0.39370078740157483" bottom="0.19685039370078741" header="0.31496062992125984" footer="0.31496062992125984"/>
  <pageSetup scale="8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75"/>
  <sheetViews>
    <sheetView topLeftCell="A16" workbookViewId="0">
      <selection activeCell="N17" sqref="N17"/>
    </sheetView>
  </sheetViews>
  <sheetFormatPr defaultColWidth="9.125" defaultRowHeight="15"/>
  <cols>
    <col min="1" max="1" width="5.625" style="58" customWidth="1"/>
    <col min="2" max="2" width="20.625" style="23" customWidth="1"/>
    <col min="3" max="3" width="5.5" style="23" customWidth="1"/>
    <col min="4" max="4" width="5" style="23" customWidth="1"/>
    <col min="5" max="6" width="5.75" style="23" customWidth="1"/>
    <col min="7" max="7" width="4.875" style="23" customWidth="1"/>
    <col min="8" max="8" width="4.25" style="23" customWidth="1"/>
    <col min="9" max="9" width="8.625" style="23" customWidth="1"/>
    <col min="10" max="10" width="7.125" style="23" customWidth="1"/>
    <col min="11" max="11" width="6.375" style="23" customWidth="1"/>
    <col min="12" max="12" width="6.625" style="23" customWidth="1"/>
    <col min="13" max="13" width="4.625" style="23" customWidth="1"/>
    <col min="14" max="14" width="5.25" style="23" customWidth="1"/>
    <col min="15" max="15" width="7.125" style="23" customWidth="1"/>
    <col min="16" max="16" width="7.625" style="23" customWidth="1"/>
    <col min="17" max="17" width="7.5" style="23" customWidth="1"/>
    <col min="18" max="18" width="7.125" style="23" customWidth="1"/>
    <col min="19" max="19" width="7.625" style="23" customWidth="1"/>
    <col min="20" max="20" width="8.625" style="23" customWidth="1"/>
    <col min="21" max="21" width="7.25" style="23" customWidth="1"/>
    <col min="22" max="22" width="7.125" style="23" customWidth="1"/>
    <col min="23" max="23" width="8.375" style="23" customWidth="1"/>
    <col min="24" max="24" width="7.5" style="23" customWidth="1"/>
    <col min="25" max="25" width="9.375" style="23" customWidth="1"/>
    <col min="26" max="26" width="10.375" style="23" customWidth="1"/>
    <col min="27" max="40" width="12.875" style="23" customWidth="1"/>
    <col min="41" max="16384" width="9.125" style="23"/>
  </cols>
  <sheetData>
    <row r="1" spans="1:46" s="22" customFormat="1" ht="15.75">
      <c r="A1" s="135" t="s">
        <v>150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</row>
    <row r="2" spans="1:46" s="22" customFormat="1" ht="15.75" hidden="1">
      <c r="A2" s="137" t="s">
        <v>9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</row>
    <row r="3" spans="1:46" s="22" customFormat="1" ht="15.75" customHeight="1">
      <c r="A3" s="130" t="s">
        <v>216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X3" s="22" t="s">
        <v>85</v>
      </c>
      <c r="Y3" s="22" t="s">
        <v>86</v>
      </c>
    </row>
    <row r="4" spans="1:46" ht="15.75">
      <c r="A4" s="59" t="s">
        <v>107</v>
      </c>
      <c r="I4" s="26"/>
      <c r="J4" s="26"/>
      <c r="K4" s="25"/>
      <c r="M4" s="24"/>
      <c r="N4" s="24"/>
      <c r="P4" s="26"/>
      <c r="R4" s="24"/>
      <c r="S4" s="24"/>
      <c r="V4" s="139" t="s">
        <v>8</v>
      </c>
      <c r="W4" s="139"/>
      <c r="X4" s="23">
        <f>X9+X35+X55</f>
        <v>710</v>
      </c>
      <c r="Y4" s="23">
        <f>15+26+25</f>
        <v>66</v>
      </c>
      <c r="Z4" s="23">
        <f>X4/Y4</f>
        <v>10.757575757575758</v>
      </c>
      <c r="AA4" s="27">
        <f>12/Z4</f>
        <v>1.1154929577464789</v>
      </c>
    </row>
    <row r="5" spans="1:46" s="29" customFormat="1" ht="45.75" customHeight="1">
      <c r="A5" s="140" t="s">
        <v>6</v>
      </c>
      <c r="B5" s="140" t="s">
        <v>10</v>
      </c>
      <c r="C5" s="140" t="s">
        <v>151</v>
      </c>
      <c r="D5" s="140"/>
      <c r="E5" s="140"/>
      <c r="F5" s="140" t="s">
        <v>152</v>
      </c>
      <c r="G5" s="140"/>
      <c r="H5" s="140"/>
      <c r="I5" s="140" t="s">
        <v>13</v>
      </c>
      <c r="J5" s="143" t="s">
        <v>158</v>
      </c>
      <c r="K5" s="143" t="s">
        <v>117</v>
      </c>
      <c r="L5" s="140" t="s">
        <v>5</v>
      </c>
      <c r="M5" s="141" t="s">
        <v>119</v>
      </c>
      <c r="N5" s="141" t="s">
        <v>115</v>
      </c>
      <c r="O5" s="140" t="s">
        <v>24</v>
      </c>
      <c r="P5" s="140"/>
      <c r="Q5" s="140"/>
      <c r="R5" s="140"/>
      <c r="S5" s="140"/>
      <c r="T5" s="140" t="s">
        <v>154</v>
      </c>
      <c r="U5" s="140" t="s">
        <v>18</v>
      </c>
      <c r="V5" s="140"/>
      <c r="W5" s="140" t="s">
        <v>153</v>
      </c>
      <c r="X5" s="145" t="s">
        <v>81</v>
      </c>
      <c r="Y5" s="145" t="s">
        <v>26</v>
      </c>
      <c r="Z5" s="145" t="s">
        <v>82</v>
      </c>
      <c r="AA5" s="28">
        <f>25+20+15</f>
        <v>60</v>
      </c>
      <c r="AB5" s="28" t="s">
        <v>100</v>
      </c>
      <c r="AC5" s="28" t="s">
        <v>102</v>
      </c>
      <c r="AD5" s="28"/>
      <c r="AE5" s="23">
        <f>+Y7/AA5</f>
        <v>11.833333333333334</v>
      </c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</row>
    <row r="6" spans="1:46" s="29" customFormat="1" ht="106.9" customHeight="1">
      <c r="A6" s="140"/>
      <c r="B6" s="140"/>
      <c r="C6" s="47" t="s">
        <v>148</v>
      </c>
      <c r="D6" s="47" t="s">
        <v>149</v>
      </c>
      <c r="E6" s="47" t="s">
        <v>159</v>
      </c>
      <c r="F6" s="47" t="s">
        <v>148</v>
      </c>
      <c r="G6" s="47" t="s">
        <v>149</v>
      </c>
      <c r="H6" s="47" t="s">
        <v>159</v>
      </c>
      <c r="I6" s="140"/>
      <c r="J6" s="144"/>
      <c r="K6" s="144"/>
      <c r="L6" s="140"/>
      <c r="M6" s="142"/>
      <c r="N6" s="142"/>
      <c r="O6" s="30" t="s">
        <v>15</v>
      </c>
      <c r="P6" s="30" t="s">
        <v>112</v>
      </c>
      <c r="Q6" s="110" t="s">
        <v>208</v>
      </c>
      <c r="R6" s="30" t="s">
        <v>16</v>
      </c>
      <c r="S6" s="30" t="s">
        <v>17</v>
      </c>
      <c r="T6" s="140"/>
      <c r="U6" s="30" t="s">
        <v>19</v>
      </c>
      <c r="V6" s="30" t="s">
        <v>20</v>
      </c>
      <c r="W6" s="140"/>
      <c r="X6" s="145"/>
      <c r="Y6" s="145"/>
      <c r="Z6" s="145"/>
      <c r="AA6" s="28">
        <f>+X9+X35+X55</f>
        <v>710</v>
      </c>
      <c r="AB6" s="28" t="s">
        <v>101</v>
      </c>
      <c r="AC6" s="28">
        <f>+AA6/AA5</f>
        <v>11.833333333333334</v>
      </c>
      <c r="AD6" s="28">
        <f>12/AC6</f>
        <v>1.0140845070422535</v>
      </c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</row>
    <row r="7" spans="1:46" s="29" customFormat="1" ht="15" customHeight="1">
      <c r="A7" s="31" t="s">
        <v>1</v>
      </c>
      <c r="B7" s="31" t="s">
        <v>2</v>
      </c>
      <c r="C7" s="32">
        <v>1</v>
      </c>
      <c r="D7" s="32">
        <v>2</v>
      </c>
      <c r="E7" s="32">
        <v>3</v>
      </c>
      <c r="F7" s="32">
        <v>4</v>
      </c>
      <c r="G7" s="32">
        <v>5</v>
      </c>
      <c r="H7" s="32">
        <v>6</v>
      </c>
      <c r="I7" s="32">
        <v>7</v>
      </c>
      <c r="J7" s="32"/>
      <c r="K7" s="32">
        <v>8</v>
      </c>
      <c r="L7" s="32">
        <v>9</v>
      </c>
      <c r="M7" s="32">
        <v>10</v>
      </c>
      <c r="N7" s="32">
        <v>11</v>
      </c>
      <c r="O7" s="32">
        <v>12</v>
      </c>
      <c r="P7" s="32">
        <v>13</v>
      </c>
      <c r="Q7" s="32">
        <v>14</v>
      </c>
      <c r="R7" s="32">
        <v>15</v>
      </c>
      <c r="S7" s="32">
        <v>16</v>
      </c>
      <c r="T7" s="32" t="s">
        <v>155</v>
      </c>
      <c r="U7" s="32" t="s">
        <v>156</v>
      </c>
      <c r="V7" s="32">
        <v>19</v>
      </c>
      <c r="W7" s="32" t="s">
        <v>157</v>
      </c>
      <c r="X7" s="23"/>
      <c r="Y7" s="23">
        <f>X9+X35+X55</f>
        <v>710</v>
      </c>
      <c r="Z7" s="23"/>
      <c r="AA7" s="23">
        <f>12/704</f>
        <v>1.7045454545454544E-2</v>
      </c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</row>
    <row r="8" spans="1:46" s="29" customFormat="1">
      <c r="A8" s="33"/>
      <c r="B8" s="33" t="s">
        <v>116</v>
      </c>
      <c r="C8" s="34">
        <f t="shared" ref="C8:X8" si="0">+C9+C35+C55</f>
        <v>1761</v>
      </c>
      <c r="D8" s="34">
        <f t="shared" si="0"/>
        <v>67</v>
      </c>
      <c r="E8" s="34">
        <f t="shared" si="0"/>
        <v>23</v>
      </c>
      <c r="F8" s="34">
        <f t="shared" si="0"/>
        <v>1653</v>
      </c>
      <c r="G8" s="34">
        <f t="shared" si="0"/>
        <v>67</v>
      </c>
      <c r="H8" s="34">
        <f t="shared" si="0"/>
        <v>23</v>
      </c>
      <c r="I8" s="34">
        <f t="shared" si="0"/>
        <v>190515.88240999996</v>
      </c>
      <c r="J8" s="34">
        <f t="shared" si="0"/>
        <v>5025</v>
      </c>
      <c r="K8" s="34">
        <f t="shared" si="0"/>
        <v>1190</v>
      </c>
      <c r="L8" s="34">
        <f t="shared" si="0"/>
        <v>23517</v>
      </c>
      <c r="M8" s="34">
        <f t="shared" si="0"/>
        <v>0</v>
      </c>
      <c r="N8" s="34">
        <f t="shared" si="0"/>
        <v>450</v>
      </c>
      <c r="O8" s="34">
        <f t="shared" si="0"/>
        <v>26990</v>
      </c>
      <c r="P8" s="34">
        <f t="shared" si="0"/>
        <v>2571.1595999999995</v>
      </c>
      <c r="Q8" s="34">
        <f t="shared" si="0"/>
        <v>2000</v>
      </c>
      <c r="R8" s="34">
        <f t="shared" si="0"/>
        <v>2012</v>
      </c>
      <c r="S8" s="34">
        <f t="shared" si="0"/>
        <v>530</v>
      </c>
      <c r="T8" s="34">
        <f t="shared" si="0"/>
        <v>254801.04200999998</v>
      </c>
      <c r="U8" s="34">
        <f t="shared" si="0"/>
        <v>2854.2000000000003</v>
      </c>
      <c r="V8" s="34">
        <f t="shared" si="0"/>
        <v>1809</v>
      </c>
      <c r="W8" s="34">
        <f t="shared" si="0"/>
        <v>250137.84200999999</v>
      </c>
      <c r="X8" s="34">
        <f t="shared" si="0"/>
        <v>710</v>
      </c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</row>
    <row r="9" spans="1:46" s="29" customFormat="1" ht="14.25">
      <c r="A9" s="33" t="s">
        <v>3</v>
      </c>
      <c r="B9" s="35" t="s">
        <v>25</v>
      </c>
      <c r="C9" s="36">
        <f t="shared" ref="C9:J9" si="1">SUM(C10:C34)</f>
        <v>598</v>
      </c>
      <c r="D9" s="36">
        <f t="shared" si="1"/>
        <v>25</v>
      </c>
      <c r="E9" s="36">
        <f t="shared" si="1"/>
        <v>23</v>
      </c>
      <c r="F9" s="36">
        <f t="shared" si="1"/>
        <v>536</v>
      </c>
      <c r="G9" s="36">
        <f t="shared" si="1"/>
        <v>25</v>
      </c>
      <c r="H9" s="36">
        <f t="shared" si="1"/>
        <v>23</v>
      </c>
      <c r="I9" s="36">
        <f t="shared" si="1"/>
        <v>56420.426527999982</v>
      </c>
      <c r="J9" s="36">
        <f t="shared" si="1"/>
        <v>1875</v>
      </c>
      <c r="K9" s="36">
        <f t="shared" ref="K9" si="2">SUM(K10:K34)</f>
        <v>1190</v>
      </c>
      <c r="L9" s="36">
        <f>SUM(L10:L34)</f>
        <v>6792</v>
      </c>
      <c r="M9" s="36">
        <f t="shared" ref="M9:N9" si="3">SUM(M10:M34)</f>
        <v>0</v>
      </c>
      <c r="N9" s="36">
        <f t="shared" si="3"/>
        <v>105</v>
      </c>
      <c r="O9" s="36">
        <f t="shared" ref="O9:W9" si="4">SUM(O10:O34)</f>
        <v>6045</v>
      </c>
      <c r="P9" s="36">
        <f t="shared" ref="P9" si="5">SUM(P10:P34)</f>
        <v>380.38559999999995</v>
      </c>
      <c r="Q9" s="36">
        <f>SUM(Q10:Q34)</f>
        <v>1085</v>
      </c>
      <c r="R9" s="36">
        <f t="shared" si="4"/>
        <v>2012</v>
      </c>
      <c r="S9" s="37">
        <f>SUM(S10:S34)</f>
        <v>72</v>
      </c>
      <c r="T9" s="36">
        <f t="shared" si="4"/>
        <v>75976.81212799999</v>
      </c>
      <c r="U9" s="36">
        <f t="shared" si="4"/>
        <v>866.7</v>
      </c>
      <c r="V9" s="36">
        <f t="shared" si="4"/>
        <v>1066</v>
      </c>
      <c r="W9" s="36">
        <f t="shared" si="4"/>
        <v>74044.112127999993</v>
      </c>
      <c r="X9" s="29">
        <f>SUM(X10:X34)</f>
        <v>224</v>
      </c>
      <c r="Z9" s="38"/>
      <c r="AB9" s="29">
        <f>2500/X9</f>
        <v>11.160714285714286</v>
      </c>
    </row>
    <row r="10" spans="1:46">
      <c r="A10" s="56">
        <v>1</v>
      </c>
      <c r="B10" s="1" t="s">
        <v>27</v>
      </c>
      <c r="C10" s="55">
        <v>22</v>
      </c>
      <c r="D10" s="43">
        <v>1</v>
      </c>
      <c r="E10" s="39"/>
      <c r="F10" s="39">
        <v>18</v>
      </c>
      <c r="G10" s="49">
        <v>1</v>
      </c>
      <c r="H10" s="39"/>
      <c r="I10" s="39">
        <v>2123.5529999999999</v>
      </c>
      <c r="J10" s="39">
        <f>+D10*75</f>
        <v>75</v>
      </c>
      <c r="K10" s="39">
        <v>4</v>
      </c>
      <c r="L10" s="39">
        <f>X10*Y10</f>
        <v>264</v>
      </c>
      <c r="M10" s="39"/>
      <c r="N10" s="39"/>
      <c r="O10" s="39">
        <v>226</v>
      </c>
      <c r="P10" s="40">
        <v>39.569000000000003</v>
      </c>
      <c r="Q10" s="39">
        <v>17</v>
      </c>
      <c r="R10" s="118">
        <v>26</v>
      </c>
      <c r="S10" s="118">
        <v>0</v>
      </c>
      <c r="T10" s="39">
        <f>+SUM(I10:S10)</f>
        <v>2775.1219999999998</v>
      </c>
      <c r="U10" s="39">
        <f>(L10+J10)*0.1</f>
        <v>33.9</v>
      </c>
      <c r="V10" s="39">
        <v>37</v>
      </c>
      <c r="W10" s="39">
        <f>+T10-U10-V10</f>
        <v>2704.2219999999998</v>
      </c>
      <c r="X10" s="41">
        <v>8</v>
      </c>
      <c r="Y10" s="28">
        <v>33</v>
      </c>
      <c r="Z10" s="26">
        <f>X10*Y10*AA10</f>
        <v>267.34177215189874</v>
      </c>
      <c r="AA10" s="27">
        <v>1.0126582278481013</v>
      </c>
      <c r="AB10" s="23">
        <f>+X10*AC10</f>
        <v>80</v>
      </c>
      <c r="AC10" s="23">
        <v>10</v>
      </c>
    </row>
    <row r="11" spans="1:46">
      <c r="A11" s="56">
        <v>2</v>
      </c>
      <c r="B11" s="1" t="s">
        <v>28</v>
      </c>
      <c r="C11" s="55">
        <v>21</v>
      </c>
      <c r="D11" s="43">
        <v>1</v>
      </c>
      <c r="E11" s="39"/>
      <c r="F11" s="39">
        <v>17</v>
      </c>
      <c r="G11" s="49">
        <v>1</v>
      </c>
      <c r="H11" s="39"/>
      <c r="I11" s="39">
        <v>1991.616</v>
      </c>
      <c r="J11" s="39">
        <f t="shared" ref="J11:J70" si="6">+D11*75</f>
        <v>75</v>
      </c>
      <c r="K11" s="39">
        <v>58</v>
      </c>
      <c r="L11" s="39">
        <f t="shared" ref="L11:L34" si="7">X11*Y11</f>
        <v>264</v>
      </c>
      <c r="M11" s="39"/>
      <c r="N11" s="39"/>
      <c r="O11" s="39">
        <v>159</v>
      </c>
      <c r="P11" s="40">
        <v>39.569600000000001</v>
      </c>
      <c r="Q11" s="39">
        <v>14</v>
      </c>
      <c r="R11" s="118">
        <v>107</v>
      </c>
      <c r="S11" s="118">
        <v>0</v>
      </c>
      <c r="T11" s="39">
        <f t="shared" ref="T11:T34" si="8">+SUM(I11:S11)</f>
        <v>2708.1855999999998</v>
      </c>
      <c r="U11" s="39">
        <f t="shared" ref="U11:U70" si="9">(L11+J11)*0.1</f>
        <v>33.9</v>
      </c>
      <c r="V11" s="39">
        <v>27</v>
      </c>
      <c r="W11" s="39">
        <f t="shared" ref="W11:W70" si="10">+T11-U11-V11</f>
        <v>2647.2855999999997</v>
      </c>
      <c r="X11" s="41">
        <v>8</v>
      </c>
      <c r="Y11" s="28">
        <v>33</v>
      </c>
      <c r="Z11" s="26">
        <f t="shared" ref="Z11:Z15" si="11">X11*Y11*AA11</f>
        <v>267.34177215189874</v>
      </c>
      <c r="AA11" s="27">
        <v>1.0126582278481013</v>
      </c>
      <c r="AB11" s="23">
        <f t="shared" ref="AB11:AB69" si="12">+X11*AC11</f>
        <v>88</v>
      </c>
      <c r="AC11" s="23">
        <v>11</v>
      </c>
    </row>
    <row r="12" spans="1:46">
      <c r="A12" s="56">
        <v>3</v>
      </c>
      <c r="B12" s="1" t="s">
        <v>29</v>
      </c>
      <c r="C12" s="55">
        <v>27</v>
      </c>
      <c r="D12" s="43">
        <v>1</v>
      </c>
      <c r="E12" s="39"/>
      <c r="F12" s="39">
        <v>25</v>
      </c>
      <c r="G12" s="49">
        <v>1</v>
      </c>
      <c r="H12" s="39"/>
      <c r="I12" s="39">
        <v>2886.8708820000002</v>
      </c>
      <c r="J12" s="39">
        <f t="shared" si="6"/>
        <v>75</v>
      </c>
      <c r="K12" s="39"/>
      <c r="L12" s="39">
        <f t="shared" si="7"/>
        <v>330</v>
      </c>
      <c r="M12" s="39"/>
      <c r="N12" s="39">
        <v>15</v>
      </c>
      <c r="O12" s="39">
        <v>302</v>
      </c>
      <c r="P12" s="40">
        <v>18.893999999999998</v>
      </c>
      <c r="Q12" s="39">
        <v>26</v>
      </c>
      <c r="R12" s="118">
        <v>42</v>
      </c>
      <c r="S12" s="118">
        <v>12</v>
      </c>
      <c r="T12" s="39">
        <f t="shared" si="8"/>
        <v>3707.7648819999999</v>
      </c>
      <c r="U12" s="39">
        <f t="shared" si="9"/>
        <v>40.5</v>
      </c>
      <c r="V12" s="39">
        <v>44</v>
      </c>
      <c r="W12" s="39">
        <f t="shared" si="10"/>
        <v>3623.2648819999999</v>
      </c>
      <c r="X12" s="41">
        <v>10</v>
      </c>
      <c r="Y12" s="28">
        <v>33</v>
      </c>
      <c r="Z12" s="26">
        <f t="shared" si="11"/>
        <v>334.17721518987344</v>
      </c>
      <c r="AA12" s="27">
        <v>1.0126582278481013</v>
      </c>
      <c r="AB12" s="23">
        <f t="shared" si="12"/>
        <v>90</v>
      </c>
      <c r="AC12" s="23">
        <v>9</v>
      </c>
    </row>
    <row r="13" spans="1:46">
      <c r="A13" s="56">
        <v>4</v>
      </c>
      <c r="B13" s="1" t="s">
        <v>30</v>
      </c>
      <c r="C13" s="55">
        <v>17</v>
      </c>
      <c r="D13" s="43">
        <v>1</v>
      </c>
      <c r="E13" s="39"/>
      <c r="F13" s="39">
        <v>14</v>
      </c>
      <c r="G13" s="49">
        <v>1</v>
      </c>
      <c r="H13" s="39"/>
      <c r="I13" s="39">
        <v>1871.625882</v>
      </c>
      <c r="J13" s="39">
        <f t="shared" si="6"/>
        <v>75</v>
      </c>
      <c r="K13" s="39"/>
      <c r="L13" s="39">
        <f t="shared" si="7"/>
        <v>198</v>
      </c>
      <c r="M13" s="39"/>
      <c r="N13" s="39">
        <v>15</v>
      </c>
      <c r="O13" s="39">
        <v>170</v>
      </c>
      <c r="P13" s="40">
        <v>20.446000000000002</v>
      </c>
      <c r="Q13" s="39">
        <v>8</v>
      </c>
      <c r="R13" s="118">
        <v>33</v>
      </c>
      <c r="S13" s="118">
        <v>0</v>
      </c>
      <c r="T13" s="39">
        <f t="shared" si="8"/>
        <v>2391.0718820000002</v>
      </c>
      <c r="U13" s="39">
        <f t="shared" si="9"/>
        <v>27.3</v>
      </c>
      <c r="V13" s="39">
        <v>23</v>
      </c>
      <c r="W13" s="39">
        <f t="shared" si="10"/>
        <v>2340.771882</v>
      </c>
      <c r="X13" s="41">
        <v>6</v>
      </c>
      <c r="Y13" s="28">
        <v>33</v>
      </c>
      <c r="Z13" s="26">
        <f t="shared" si="11"/>
        <v>200.50632911392407</v>
      </c>
      <c r="AA13" s="27">
        <v>1.0126582278481013</v>
      </c>
      <c r="AB13" s="23">
        <f t="shared" si="12"/>
        <v>78</v>
      </c>
      <c r="AC13" s="23">
        <v>13</v>
      </c>
    </row>
    <row r="14" spans="1:46">
      <c r="A14" s="56">
        <v>5</v>
      </c>
      <c r="B14" s="1" t="s">
        <v>31</v>
      </c>
      <c r="C14" s="55">
        <v>18</v>
      </c>
      <c r="D14" s="43">
        <v>1</v>
      </c>
      <c r="E14" s="39"/>
      <c r="F14" s="39">
        <v>17</v>
      </c>
      <c r="G14" s="49">
        <v>1</v>
      </c>
      <c r="H14" s="39"/>
      <c r="I14" s="39">
        <v>2056.2288819999999</v>
      </c>
      <c r="J14" s="39">
        <f t="shared" si="6"/>
        <v>75</v>
      </c>
      <c r="K14" s="39"/>
      <c r="L14" s="39">
        <f t="shared" si="7"/>
        <v>198</v>
      </c>
      <c r="M14" s="39"/>
      <c r="N14" s="39"/>
      <c r="O14" s="39">
        <v>231</v>
      </c>
      <c r="P14" s="40">
        <v>17.361000000000001</v>
      </c>
      <c r="Q14" s="39">
        <v>13</v>
      </c>
      <c r="R14" s="118">
        <v>35</v>
      </c>
      <c r="S14" s="118">
        <v>12</v>
      </c>
      <c r="T14" s="39">
        <f t="shared" si="8"/>
        <v>2637.5898819999998</v>
      </c>
      <c r="U14" s="39">
        <f t="shared" si="9"/>
        <v>27.3</v>
      </c>
      <c r="V14" s="39">
        <v>35</v>
      </c>
      <c r="W14" s="39">
        <f t="shared" si="10"/>
        <v>2575.2898819999996</v>
      </c>
      <c r="X14" s="41">
        <v>6</v>
      </c>
      <c r="Y14" s="28">
        <v>33</v>
      </c>
      <c r="Z14" s="26">
        <f t="shared" si="11"/>
        <v>200.50632911392407</v>
      </c>
      <c r="AA14" s="27">
        <v>1.0126582278481013</v>
      </c>
      <c r="AB14" s="23">
        <f t="shared" si="12"/>
        <v>72</v>
      </c>
      <c r="AC14" s="23">
        <v>12</v>
      </c>
    </row>
    <row r="15" spans="1:46">
      <c r="A15" s="56">
        <v>6</v>
      </c>
      <c r="B15" s="1" t="s">
        <v>32</v>
      </c>
      <c r="C15" s="55">
        <v>25</v>
      </c>
      <c r="D15" s="43">
        <v>1</v>
      </c>
      <c r="E15" s="39"/>
      <c r="F15" s="39">
        <v>24</v>
      </c>
      <c r="G15" s="49">
        <v>1</v>
      </c>
      <c r="H15" s="39"/>
      <c r="I15" s="39">
        <v>2545.1660000000002</v>
      </c>
      <c r="J15" s="39">
        <f t="shared" si="6"/>
        <v>75</v>
      </c>
      <c r="K15" s="39"/>
      <c r="L15" s="39">
        <f t="shared" si="7"/>
        <v>297</v>
      </c>
      <c r="M15" s="39"/>
      <c r="N15" s="39"/>
      <c r="O15" s="39">
        <v>223</v>
      </c>
      <c r="P15" s="40">
        <v>22.263999999999999</v>
      </c>
      <c r="Q15" s="39">
        <v>24</v>
      </c>
      <c r="R15" s="118">
        <v>49</v>
      </c>
      <c r="S15" s="118">
        <v>12</v>
      </c>
      <c r="T15" s="39">
        <f t="shared" si="8"/>
        <v>3247.4300000000003</v>
      </c>
      <c r="U15" s="39">
        <f t="shared" si="9"/>
        <v>37.200000000000003</v>
      </c>
      <c r="V15" s="39">
        <v>42</v>
      </c>
      <c r="W15" s="39">
        <f t="shared" si="10"/>
        <v>3168.2300000000005</v>
      </c>
      <c r="X15" s="41">
        <v>9</v>
      </c>
      <c r="Y15" s="28">
        <v>33</v>
      </c>
      <c r="Z15" s="26">
        <f t="shared" si="11"/>
        <v>300.75949367088612</v>
      </c>
      <c r="AA15" s="27">
        <v>1.0126582278481013</v>
      </c>
      <c r="AB15" s="23">
        <f>+X15*AC15</f>
        <v>90</v>
      </c>
      <c r="AC15" s="23">
        <v>10</v>
      </c>
    </row>
    <row r="16" spans="1:46">
      <c r="A16" s="56">
        <v>7</v>
      </c>
      <c r="B16" s="1" t="s">
        <v>33</v>
      </c>
      <c r="C16" s="55">
        <v>34</v>
      </c>
      <c r="D16" s="43">
        <v>1</v>
      </c>
      <c r="E16" s="39"/>
      <c r="F16" s="39">
        <v>31</v>
      </c>
      <c r="G16" s="49">
        <v>1</v>
      </c>
      <c r="H16" s="39"/>
      <c r="I16" s="39">
        <v>2969.067</v>
      </c>
      <c r="J16" s="39">
        <f t="shared" si="6"/>
        <v>75</v>
      </c>
      <c r="K16" s="39"/>
      <c r="L16" s="39">
        <f t="shared" si="7"/>
        <v>390</v>
      </c>
      <c r="M16" s="39"/>
      <c r="N16" s="39">
        <v>15</v>
      </c>
      <c r="O16" s="39">
        <v>321</v>
      </c>
      <c r="P16" s="40"/>
      <c r="Q16" s="39">
        <v>11</v>
      </c>
      <c r="R16" s="118">
        <v>38</v>
      </c>
      <c r="S16" s="118">
        <v>0</v>
      </c>
      <c r="T16" s="39">
        <f t="shared" si="8"/>
        <v>3819.067</v>
      </c>
      <c r="U16" s="39">
        <f t="shared" si="9"/>
        <v>46.5</v>
      </c>
      <c r="V16" s="39">
        <v>66</v>
      </c>
      <c r="W16" s="39">
        <f t="shared" si="10"/>
        <v>3706.567</v>
      </c>
      <c r="X16" s="41">
        <v>13</v>
      </c>
      <c r="Y16" s="23">
        <v>30</v>
      </c>
      <c r="Z16" s="26">
        <f>X16*Y16*AA16</f>
        <v>394.9367088607595</v>
      </c>
      <c r="AA16" s="27">
        <v>1.0126582278481013</v>
      </c>
      <c r="AB16" s="23">
        <f>+X16*AC16+4</f>
        <v>82</v>
      </c>
      <c r="AC16" s="23">
        <v>6</v>
      </c>
    </row>
    <row r="17" spans="1:29">
      <c r="A17" s="56">
        <v>8</v>
      </c>
      <c r="B17" s="1" t="s">
        <v>34</v>
      </c>
      <c r="C17" s="55">
        <v>31</v>
      </c>
      <c r="D17" s="43">
        <v>1</v>
      </c>
      <c r="E17" s="39"/>
      <c r="F17" s="39">
        <v>29</v>
      </c>
      <c r="G17" s="49">
        <v>1</v>
      </c>
      <c r="H17" s="39"/>
      <c r="I17" s="39">
        <v>2776.616</v>
      </c>
      <c r="J17" s="39">
        <f t="shared" si="6"/>
        <v>75</v>
      </c>
      <c r="K17" s="39"/>
      <c r="L17" s="39">
        <f t="shared" si="7"/>
        <v>360</v>
      </c>
      <c r="M17" s="39"/>
      <c r="N17" s="39">
        <v>15</v>
      </c>
      <c r="O17" s="39">
        <v>270</v>
      </c>
      <c r="P17" s="40">
        <v>16.896999999999998</v>
      </c>
      <c r="Q17" s="39">
        <v>7</v>
      </c>
      <c r="R17" s="118">
        <v>29</v>
      </c>
      <c r="S17" s="118">
        <v>0</v>
      </c>
      <c r="T17" s="39">
        <f t="shared" si="8"/>
        <v>3549.5129999999999</v>
      </c>
      <c r="U17" s="39">
        <f t="shared" si="9"/>
        <v>43.5</v>
      </c>
      <c r="V17" s="39">
        <v>52</v>
      </c>
      <c r="W17" s="39">
        <f t="shared" si="10"/>
        <v>3454.0129999999999</v>
      </c>
      <c r="X17" s="41">
        <v>12</v>
      </c>
      <c r="Y17" s="23">
        <v>30</v>
      </c>
      <c r="Z17" s="26">
        <f t="shared" ref="Z17:Z34" si="13">X17*Y17*AA17</f>
        <v>364.55696202531647</v>
      </c>
      <c r="AA17" s="27">
        <v>1.0126582278481013</v>
      </c>
      <c r="AB17" s="23">
        <f t="shared" si="12"/>
        <v>72</v>
      </c>
      <c r="AC17" s="23">
        <v>6</v>
      </c>
    </row>
    <row r="18" spans="1:29">
      <c r="A18" s="56">
        <v>9</v>
      </c>
      <c r="B18" s="1" t="s">
        <v>35</v>
      </c>
      <c r="C18" s="55">
        <v>34</v>
      </c>
      <c r="D18" s="43">
        <v>1</v>
      </c>
      <c r="E18" s="39"/>
      <c r="F18" s="39">
        <v>29</v>
      </c>
      <c r="G18" s="49">
        <v>1</v>
      </c>
      <c r="H18" s="39"/>
      <c r="I18" s="39">
        <v>3102.6439999999998</v>
      </c>
      <c r="J18" s="39">
        <f t="shared" si="6"/>
        <v>75</v>
      </c>
      <c r="K18" s="39"/>
      <c r="L18" s="39">
        <f t="shared" si="7"/>
        <v>390</v>
      </c>
      <c r="M18" s="39"/>
      <c r="N18" s="39"/>
      <c r="O18" s="39">
        <v>345</v>
      </c>
      <c r="P18" s="40">
        <v>30.369</v>
      </c>
      <c r="Q18" s="39">
        <v>15</v>
      </c>
      <c r="R18" s="118">
        <v>34</v>
      </c>
      <c r="S18" s="118">
        <v>12</v>
      </c>
      <c r="T18" s="39">
        <f t="shared" si="8"/>
        <v>4004.0129999999999</v>
      </c>
      <c r="U18" s="39">
        <f t="shared" si="9"/>
        <v>46.5</v>
      </c>
      <c r="V18" s="39">
        <v>55</v>
      </c>
      <c r="W18" s="39">
        <f t="shared" si="10"/>
        <v>3902.5129999999999</v>
      </c>
      <c r="X18" s="41">
        <v>13</v>
      </c>
      <c r="Y18" s="23">
        <v>30</v>
      </c>
      <c r="Z18" s="26">
        <f t="shared" si="13"/>
        <v>394.9367088607595</v>
      </c>
      <c r="AA18" s="27">
        <v>1.0126582278481013</v>
      </c>
      <c r="AB18" s="23">
        <f t="shared" si="12"/>
        <v>104</v>
      </c>
      <c r="AC18" s="23">
        <v>8</v>
      </c>
    </row>
    <row r="19" spans="1:29">
      <c r="A19" s="56">
        <v>10</v>
      </c>
      <c r="B19" s="1" t="s">
        <v>36</v>
      </c>
      <c r="C19" s="55">
        <v>24</v>
      </c>
      <c r="D19" s="43">
        <v>1</v>
      </c>
      <c r="E19" s="39"/>
      <c r="F19" s="39">
        <v>21</v>
      </c>
      <c r="G19" s="49">
        <v>1</v>
      </c>
      <c r="H19" s="39"/>
      <c r="I19" s="39">
        <v>2203.0819999999999</v>
      </c>
      <c r="J19" s="39">
        <f t="shared" si="6"/>
        <v>75</v>
      </c>
      <c r="K19" s="39"/>
      <c r="L19" s="39">
        <f t="shared" si="7"/>
        <v>270</v>
      </c>
      <c r="M19" s="39"/>
      <c r="N19" s="39"/>
      <c r="O19" s="39">
        <v>262</v>
      </c>
      <c r="P19" s="40">
        <v>17.305</v>
      </c>
      <c r="Q19" s="39">
        <v>8</v>
      </c>
      <c r="R19" s="118">
        <v>22</v>
      </c>
      <c r="S19" s="118">
        <v>0</v>
      </c>
      <c r="T19" s="39">
        <f t="shared" si="8"/>
        <v>2857.3869999999997</v>
      </c>
      <c r="U19" s="39">
        <f t="shared" si="9"/>
        <v>34.5</v>
      </c>
      <c r="V19" s="39">
        <v>39</v>
      </c>
      <c r="W19" s="39">
        <f t="shared" si="10"/>
        <v>2783.8869999999997</v>
      </c>
      <c r="X19" s="41">
        <v>9</v>
      </c>
      <c r="Y19" s="23">
        <v>30</v>
      </c>
      <c r="Z19" s="26">
        <f t="shared" si="13"/>
        <v>273.41772151898738</v>
      </c>
      <c r="AA19" s="27">
        <v>1.0126582278481013</v>
      </c>
      <c r="AB19" s="23">
        <f>+X19*AC19</f>
        <v>90</v>
      </c>
      <c r="AC19" s="23">
        <v>10</v>
      </c>
    </row>
    <row r="20" spans="1:29">
      <c r="A20" s="56">
        <v>11</v>
      </c>
      <c r="B20" s="1" t="s">
        <v>37</v>
      </c>
      <c r="C20" s="55">
        <v>31</v>
      </c>
      <c r="D20" s="43">
        <v>1</v>
      </c>
      <c r="E20" s="39"/>
      <c r="F20" s="39">
        <v>29</v>
      </c>
      <c r="G20" s="49">
        <v>1</v>
      </c>
      <c r="H20" s="39"/>
      <c r="I20" s="39">
        <v>2924.3359999999998</v>
      </c>
      <c r="J20" s="39">
        <f t="shared" si="6"/>
        <v>75</v>
      </c>
      <c r="K20" s="39"/>
      <c r="L20" s="39">
        <f t="shared" si="7"/>
        <v>297</v>
      </c>
      <c r="M20" s="39"/>
      <c r="N20" s="39">
        <v>15</v>
      </c>
      <c r="O20" s="39">
        <v>315</v>
      </c>
      <c r="P20" s="40">
        <v>19.606999999999999</v>
      </c>
      <c r="Q20" s="39">
        <v>13</v>
      </c>
      <c r="R20" s="118">
        <v>27</v>
      </c>
      <c r="S20" s="118">
        <v>12</v>
      </c>
      <c r="T20" s="39">
        <f t="shared" si="8"/>
        <v>3697.9429999999998</v>
      </c>
      <c r="U20" s="39">
        <f t="shared" si="9"/>
        <v>37.200000000000003</v>
      </c>
      <c r="V20" s="39">
        <v>80</v>
      </c>
      <c r="W20" s="39">
        <f t="shared" si="10"/>
        <v>3580.7429999999999</v>
      </c>
      <c r="X20" s="41">
        <v>11</v>
      </c>
      <c r="Y20" s="28">
        <v>27</v>
      </c>
      <c r="Z20" s="26">
        <f t="shared" si="13"/>
        <v>300.75949367088612</v>
      </c>
      <c r="AA20" s="27">
        <v>1.0126582278481013</v>
      </c>
      <c r="AB20" s="23">
        <f t="shared" si="12"/>
        <v>88</v>
      </c>
      <c r="AC20" s="23">
        <v>8</v>
      </c>
    </row>
    <row r="21" spans="1:29">
      <c r="A21" s="56">
        <v>12</v>
      </c>
      <c r="B21" s="1" t="s">
        <v>38</v>
      </c>
      <c r="C21" s="55">
        <v>36</v>
      </c>
      <c r="D21" s="43">
        <v>1</v>
      </c>
      <c r="E21" s="39"/>
      <c r="F21" s="39">
        <v>34</v>
      </c>
      <c r="G21" s="49">
        <v>1</v>
      </c>
      <c r="H21" s="39"/>
      <c r="I21" s="39">
        <v>3303.8040000000001</v>
      </c>
      <c r="J21" s="39">
        <f t="shared" si="6"/>
        <v>75</v>
      </c>
      <c r="K21" s="39">
        <v>19</v>
      </c>
      <c r="L21" s="39">
        <f t="shared" si="7"/>
        <v>324</v>
      </c>
      <c r="M21" s="39"/>
      <c r="N21" s="39">
        <v>15</v>
      </c>
      <c r="O21" s="39">
        <v>348</v>
      </c>
      <c r="P21" s="40">
        <v>38.156999999999996</v>
      </c>
      <c r="Q21" s="39">
        <v>17</v>
      </c>
      <c r="R21" s="118">
        <v>78</v>
      </c>
      <c r="S21" s="118">
        <v>0</v>
      </c>
      <c r="T21" s="39">
        <f t="shared" si="8"/>
        <v>4217.9610000000002</v>
      </c>
      <c r="U21" s="39">
        <f t="shared" si="9"/>
        <v>39.900000000000006</v>
      </c>
      <c r="V21" s="39">
        <v>100</v>
      </c>
      <c r="W21" s="39">
        <f t="shared" si="10"/>
        <v>4078.0610000000006</v>
      </c>
      <c r="X21" s="41">
        <v>12</v>
      </c>
      <c r="Y21" s="28">
        <v>27</v>
      </c>
      <c r="Z21" s="26">
        <f t="shared" si="13"/>
        <v>328.10126582278485</v>
      </c>
      <c r="AA21" s="27">
        <v>1.0126582278481013</v>
      </c>
      <c r="AB21" s="23">
        <f t="shared" si="12"/>
        <v>72</v>
      </c>
      <c r="AC21" s="23">
        <v>6</v>
      </c>
    </row>
    <row r="22" spans="1:29">
      <c r="A22" s="56">
        <v>13</v>
      </c>
      <c r="B22" s="1" t="s">
        <v>39</v>
      </c>
      <c r="C22" s="55">
        <v>27</v>
      </c>
      <c r="D22" s="43">
        <v>1</v>
      </c>
      <c r="E22" s="39"/>
      <c r="F22" s="39">
        <v>25</v>
      </c>
      <c r="G22" s="49">
        <v>1</v>
      </c>
      <c r="H22" s="39"/>
      <c r="I22" s="39">
        <v>2668.1219999999998</v>
      </c>
      <c r="J22" s="39">
        <f t="shared" si="6"/>
        <v>75</v>
      </c>
      <c r="K22" s="39"/>
      <c r="L22" s="39">
        <f t="shared" si="7"/>
        <v>360</v>
      </c>
      <c r="M22" s="39"/>
      <c r="N22" s="39"/>
      <c r="O22" s="39">
        <v>325</v>
      </c>
      <c r="P22" s="40">
        <v>18.937999999999999</v>
      </c>
      <c r="Q22" s="39">
        <v>9</v>
      </c>
      <c r="R22" s="118">
        <v>16</v>
      </c>
      <c r="S22" s="118">
        <v>0</v>
      </c>
      <c r="T22" s="39">
        <f t="shared" si="8"/>
        <v>3472.06</v>
      </c>
      <c r="U22" s="39">
        <f t="shared" si="9"/>
        <v>43.5</v>
      </c>
      <c r="V22" s="39">
        <v>36</v>
      </c>
      <c r="W22" s="39">
        <f t="shared" si="10"/>
        <v>3392.56</v>
      </c>
      <c r="X22" s="41">
        <v>12</v>
      </c>
      <c r="Y22" s="23">
        <v>30</v>
      </c>
      <c r="Z22" s="26">
        <f t="shared" si="13"/>
        <v>364.55696202531647</v>
      </c>
      <c r="AA22" s="27">
        <v>1.0126582278481013</v>
      </c>
      <c r="AB22" s="23">
        <f t="shared" si="12"/>
        <v>72</v>
      </c>
      <c r="AC22" s="23">
        <v>6</v>
      </c>
    </row>
    <row r="23" spans="1:29">
      <c r="A23" s="56">
        <v>14</v>
      </c>
      <c r="B23" s="1" t="s">
        <v>40</v>
      </c>
      <c r="C23" s="55">
        <v>22</v>
      </c>
      <c r="D23" s="43">
        <v>1</v>
      </c>
      <c r="E23" s="39"/>
      <c r="F23" s="39">
        <v>18</v>
      </c>
      <c r="G23" s="49">
        <v>1</v>
      </c>
      <c r="H23" s="39"/>
      <c r="I23" s="39">
        <v>1966.7339999999999</v>
      </c>
      <c r="J23" s="39">
        <f t="shared" si="6"/>
        <v>75</v>
      </c>
      <c r="K23" s="39"/>
      <c r="L23" s="39">
        <f t="shared" si="7"/>
        <v>270</v>
      </c>
      <c r="M23" s="39"/>
      <c r="N23" s="39"/>
      <c r="O23" s="39">
        <v>208</v>
      </c>
      <c r="P23" s="40">
        <v>36.603999999999999</v>
      </c>
      <c r="Q23" s="39">
        <v>7</v>
      </c>
      <c r="R23" s="118">
        <v>23</v>
      </c>
      <c r="S23" s="118">
        <v>0</v>
      </c>
      <c r="T23" s="39">
        <f t="shared" si="8"/>
        <v>2586.3379999999997</v>
      </c>
      <c r="U23" s="39">
        <f t="shared" si="9"/>
        <v>34.5</v>
      </c>
      <c r="V23" s="39">
        <v>35</v>
      </c>
      <c r="W23" s="39">
        <f t="shared" si="10"/>
        <v>2516.8379999999997</v>
      </c>
      <c r="X23" s="41">
        <v>9</v>
      </c>
      <c r="Y23" s="23">
        <v>30</v>
      </c>
      <c r="Z23" s="26">
        <f t="shared" si="13"/>
        <v>273.41772151898738</v>
      </c>
      <c r="AA23" s="27">
        <v>1.0126582278481013</v>
      </c>
      <c r="AB23" s="23">
        <f>+X23*AC23</f>
        <v>90</v>
      </c>
      <c r="AC23" s="23">
        <v>10</v>
      </c>
    </row>
    <row r="24" spans="1:29">
      <c r="A24" s="56">
        <v>15</v>
      </c>
      <c r="B24" s="1" t="s">
        <v>41</v>
      </c>
      <c r="C24" s="55">
        <v>17</v>
      </c>
      <c r="D24" s="43">
        <v>1</v>
      </c>
      <c r="E24" s="39"/>
      <c r="F24" s="39">
        <v>15</v>
      </c>
      <c r="G24" s="49">
        <v>1</v>
      </c>
      <c r="H24" s="39"/>
      <c r="I24" s="39">
        <v>1540.95</v>
      </c>
      <c r="J24" s="39">
        <f t="shared" si="6"/>
        <v>75</v>
      </c>
      <c r="K24" s="39">
        <v>17</v>
      </c>
      <c r="L24" s="39">
        <f t="shared" si="7"/>
        <v>180</v>
      </c>
      <c r="M24" s="39"/>
      <c r="N24" s="39"/>
      <c r="O24" s="39">
        <v>166</v>
      </c>
      <c r="P24" s="40"/>
      <c r="Q24" s="39">
        <v>19</v>
      </c>
      <c r="R24" s="118">
        <v>42</v>
      </c>
      <c r="S24" s="118">
        <v>0</v>
      </c>
      <c r="T24" s="39">
        <f t="shared" si="8"/>
        <v>2039.95</v>
      </c>
      <c r="U24" s="39">
        <f t="shared" si="9"/>
        <v>25.5</v>
      </c>
      <c r="V24" s="39">
        <v>28</v>
      </c>
      <c r="W24" s="39">
        <f t="shared" si="10"/>
        <v>1986.45</v>
      </c>
      <c r="X24" s="41">
        <v>6</v>
      </c>
      <c r="Y24" s="23">
        <v>30</v>
      </c>
      <c r="Z24" s="26">
        <f t="shared" si="13"/>
        <v>182.27848101265823</v>
      </c>
      <c r="AA24" s="27">
        <v>1.0126582278481013</v>
      </c>
      <c r="AB24" s="23">
        <f t="shared" si="12"/>
        <v>84</v>
      </c>
      <c r="AC24" s="23">
        <v>14</v>
      </c>
    </row>
    <row r="25" spans="1:29">
      <c r="A25" s="56">
        <v>16</v>
      </c>
      <c r="B25" s="1" t="s">
        <v>42</v>
      </c>
      <c r="C25" s="55">
        <v>24</v>
      </c>
      <c r="D25" s="43">
        <v>1</v>
      </c>
      <c r="E25" s="39">
        <v>5</v>
      </c>
      <c r="F25" s="39">
        <v>22</v>
      </c>
      <c r="G25" s="49">
        <v>1</v>
      </c>
      <c r="H25" s="39">
        <v>5</v>
      </c>
      <c r="I25" s="39">
        <v>2111.36</v>
      </c>
      <c r="J25" s="39">
        <f t="shared" si="6"/>
        <v>75</v>
      </c>
      <c r="K25" s="39">
        <v>237</v>
      </c>
      <c r="L25" s="39">
        <f t="shared" si="7"/>
        <v>270</v>
      </c>
      <c r="M25" s="39"/>
      <c r="N25" s="39"/>
      <c r="O25" s="39">
        <v>183</v>
      </c>
      <c r="P25" s="40"/>
      <c r="Q25" s="39">
        <v>32</v>
      </c>
      <c r="R25" s="118">
        <v>271</v>
      </c>
      <c r="S25" s="118">
        <v>0</v>
      </c>
      <c r="T25" s="39">
        <f t="shared" si="8"/>
        <v>3179.36</v>
      </c>
      <c r="U25" s="39">
        <f t="shared" si="9"/>
        <v>34.5</v>
      </c>
      <c r="V25" s="39">
        <v>43</v>
      </c>
      <c r="W25" s="39">
        <f t="shared" si="10"/>
        <v>3101.86</v>
      </c>
      <c r="X25" s="41">
        <v>9</v>
      </c>
      <c r="Y25" s="23">
        <v>30</v>
      </c>
      <c r="Z25" s="26">
        <f t="shared" si="13"/>
        <v>273.41772151898738</v>
      </c>
      <c r="AA25" s="27">
        <v>1.0126582278481013</v>
      </c>
      <c r="AB25" s="23">
        <f>+X25*AC25-1</f>
        <v>89</v>
      </c>
      <c r="AC25" s="23">
        <v>10</v>
      </c>
    </row>
    <row r="26" spans="1:29">
      <c r="A26" s="56">
        <v>17</v>
      </c>
      <c r="B26" s="1" t="s">
        <v>43</v>
      </c>
      <c r="C26" s="55">
        <v>16</v>
      </c>
      <c r="D26" s="43">
        <v>1</v>
      </c>
      <c r="E26" s="39">
        <v>3</v>
      </c>
      <c r="F26" s="39">
        <v>13</v>
      </c>
      <c r="G26" s="49">
        <v>1</v>
      </c>
      <c r="H26" s="39">
        <v>3</v>
      </c>
      <c r="I26" s="39">
        <v>1306.643</v>
      </c>
      <c r="J26" s="39">
        <f t="shared" si="6"/>
        <v>75</v>
      </c>
      <c r="K26" s="39">
        <v>143</v>
      </c>
      <c r="L26" s="39">
        <f t="shared" si="7"/>
        <v>150</v>
      </c>
      <c r="M26" s="39"/>
      <c r="N26" s="39"/>
      <c r="O26" s="39">
        <v>108</v>
      </c>
      <c r="P26" s="40"/>
      <c r="Q26" s="39">
        <v>56</v>
      </c>
      <c r="R26" s="118">
        <v>186</v>
      </c>
      <c r="S26" s="118">
        <v>0</v>
      </c>
      <c r="T26" s="39">
        <f t="shared" si="8"/>
        <v>2024.643</v>
      </c>
      <c r="U26" s="39">
        <f t="shared" si="9"/>
        <v>22.5</v>
      </c>
      <c r="V26" s="39">
        <v>27</v>
      </c>
      <c r="W26" s="39">
        <f t="shared" si="10"/>
        <v>1975.143</v>
      </c>
      <c r="X26" s="41">
        <v>5</v>
      </c>
      <c r="Y26" s="23">
        <v>30</v>
      </c>
      <c r="Z26" s="26">
        <f t="shared" si="13"/>
        <v>151.8987341772152</v>
      </c>
      <c r="AA26" s="27">
        <v>1.0126582278481013</v>
      </c>
      <c r="AB26" s="23">
        <f t="shared" si="12"/>
        <v>70</v>
      </c>
      <c r="AC26" s="23">
        <v>14</v>
      </c>
    </row>
    <row r="27" spans="1:29">
      <c r="A27" s="56">
        <v>18</v>
      </c>
      <c r="B27" s="1" t="s">
        <v>44</v>
      </c>
      <c r="C27" s="55">
        <v>30</v>
      </c>
      <c r="D27" s="43">
        <v>1</v>
      </c>
      <c r="E27" s="39">
        <v>6</v>
      </c>
      <c r="F27" s="39">
        <v>25</v>
      </c>
      <c r="G27" s="49">
        <v>1</v>
      </c>
      <c r="H27" s="39">
        <v>6</v>
      </c>
      <c r="I27" s="39">
        <v>2519.4499999999998</v>
      </c>
      <c r="J27" s="39">
        <f t="shared" si="6"/>
        <v>75</v>
      </c>
      <c r="K27" s="39">
        <v>275</v>
      </c>
      <c r="L27" s="39">
        <f t="shared" si="7"/>
        <v>360</v>
      </c>
      <c r="M27" s="39"/>
      <c r="N27" s="39">
        <v>15</v>
      </c>
      <c r="O27" s="39">
        <v>223</v>
      </c>
      <c r="P27" s="40"/>
      <c r="Q27" s="39">
        <v>341</v>
      </c>
      <c r="R27" s="118">
        <v>369</v>
      </c>
      <c r="S27" s="118">
        <v>0</v>
      </c>
      <c r="T27" s="39">
        <f t="shared" si="8"/>
        <v>4177.45</v>
      </c>
      <c r="U27" s="39">
        <f t="shared" si="9"/>
        <v>43.5</v>
      </c>
      <c r="V27" s="39">
        <v>57</v>
      </c>
      <c r="W27" s="39">
        <f t="shared" si="10"/>
        <v>4076.95</v>
      </c>
      <c r="X27" s="41">
        <v>12</v>
      </c>
      <c r="Y27" s="23">
        <v>30</v>
      </c>
      <c r="Z27" s="26">
        <f t="shared" si="13"/>
        <v>364.55696202531647</v>
      </c>
      <c r="AA27" s="27">
        <v>1.0126582278481013</v>
      </c>
      <c r="AB27" s="23">
        <f t="shared" si="12"/>
        <v>72</v>
      </c>
      <c r="AC27" s="23">
        <v>6</v>
      </c>
    </row>
    <row r="28" spans="1:29">
      <c r="A28" s="56">
        <v>19</v>
      </c>
      <c r="B28" s="1" t="s">
        <v>45</v>
      </c>
      <c r="C28" s="55">
        <v>16</v>
      </c>
      <c r="D28" s="43">
        <v>1</v>
      </c>
      <c r="E28" s="39">
        <v>3</v>
      </c>
      <c r="F28" s="39">
        <v>15</v>
      </c>
      <c r="G28" s="49">
        <v>1</v>
      </c>
      <c r="H28" s="39">
        <v>3</v>
      </c>
      <c r="I28" s="39">
        <v>1480.44</v>
      </c>
      <c r="J28" s="39">
        <f t="shared" si="6"/>
        <v>75</v>
      </c>
      <c r="K28" s="39">
        <v>140</v>
      </c>
      <c r="L28" s="39">
        <f t="shared" si="7"/>
        <v>180</v>
      </c>
      <c r="M28" s="39"/>
      <c r="N28" s="39"/>
      <c r="O28" s="39">
        <v>180</v>
      </c>
      <c r="P28" s="40"/>
      <c r="Q28" s="39">
        <v>199</v>
      </c>
      <c r="R28" s="118">
        <v>199</v>
      </c>
      <c r="S28" s="118">
        <v>0</v>
      </c>
      <c r="T28" s="39">
        <f t="shared" si="8"/>
        <v>2453.44</v>
      </c>
      <c r="U28" s="39">
        <f t="shared" si="9"/>
        <v>25.5</v>
      </c>
      <c r="V28" s="39">
        <v>30</v>
      </c>
      <c r="W28" s="39">
        <f t="shared" si="10"/>
        <v>2397.94</v>
      </c>
      <c r="X28" s="41">
        <v>6</v>
      </c>
      <c r="Y28" s="23">
        <v>30</v>
      </c>
      <c r="Z28" s="26">
        <f t="shared" si="13"/>
        <v>182.27848101265823</v>
      </c>
      <c r="AA28" s="27">
        <v>1.0126582278481013</v>
      </c>
      <c r="AB28" s="23">
        <f t="shared" si="12"/>
        <v>84</v>
      </c>
      <c r="AC28" s="23">
        <v>14</v>
      </c>
    </row>
    <row r="29" spans="1:29">
      <c r="A29" s="56">
        <v>20</v>
      </c>
      <c r="B29" s="1" t="s">
        <v>46</v>
      </c>
      <c r="C29" s="55">
        <v>15</v>
      </c>
      <c r="D29" s="43">
        <v>1</v>
      </c>
      <c r="E29" s="39">
        <v>3</v>
      </c>
      <c r="F29" s="39">
        <v>14</v>
      </c>
      <c r="G29" s="49">
        <v>1</v>
      </c>
      <c r="H29" s="39">
        <v>3</v>
      </c>
      <c r="I29" s="39">
        <v>1473.5098820000001</v>
      </c>
      <c r="J29" s="39">
        <f t="shared" si="6"/>
        <v>75</v>
      </c>
      <c r="K29" s="39">
        <v>141</v>
      </c>
      <c r="L29" s="39">
        <f t="shared" si="7"/>
        <v>210</v>
      </c>
      <c r="M29" s="39"/>
      <c r="N29" s="39"/>
      <c r="O29" s="39">
        <v>180</v>
      </c>
      <c r="P29" s="40"/>
      <c r="Q29" s="39">
        <v>182</v>
      </c>
      <c r="R29" s="118">
        <v>207</v>
      </c>
      <c r="S29" s="118">
        <v>0</v>
      </c>
      <c r="T29" s="39">
        <f t="shared" si="8"/>
        <v>2468.5098820000003</v>
      </c>
      <c r="U29" s="39">
        <f t="shared" si="9"/>
        <v>28.5</v>
      </c>
      <c r="V29" s="39">
        <v>29</v>
      </c>
      <c r="W29" s="39">
        <f t="shared" si="10"/>
        <v>2411.0098820000003</v>
      </c>
      <c r="X29" s="41">
        <v>7</v>
      </c>
      <c r="Y29" s="23">
        <v>30</v>
      </c>
      <c r="Z29" s="26">
        <f t="shared" si="13"/>
        <v>212.65822784810129</v>
      </c>
      <c r="AA29" s="27">
        <v>1.0126582278481013</v>
      </c>
      <c r="AB29" s="23">
        <f t="shared" si="12"/>
        <v>84</v>
      </c>
      <c r="AC29" s="23">
        <v>12</v>
      </c>
    </row>
    <row r="30" spans="1:29">
      <c r="A30" s="56">
        <v>21</v>
      </c>
      <c r="B30" s="1" t="s">
        <v>47</v>
      </c>
      <c r="C30" s="55">
        <v>15</v>
      </c>
      <c r="D30" s="43">
        <v>1</v>
      </c>
      <c r="E30" s="39">
        <v>3</v>
      </c>
      <c r="F30" s="39">
        <v>15</v>
      </c>
      <c r="G30" s="49">
        <v>1</v>
      </c>
      <c r="H30" s="39">
        <v>3</v>
      </c>
      <c r="I30" s="39">
        <v>1487.787</v>
      </c>
      <c r="J30" s="39">
        <f t="shared" si="6"/>
        <v>75</v>
      </c>
      <c r="K30" s="39">
        <v>141</v>
      </c>
      <c r="L30" s="39">
        <f t="shared" si="7"/>
        <v>150</v>
      </c>
      <c r="M30" s="39"/>
      <c r="N30" s="39"/>
      <c r="O30" s="39">
        <v>168</v>
      </c>
      <c r="P30" s="40"/>
      <c r="Q30" s="39">
        <v>15</v>
      </c>
      <c r="R30" s="118">
        <v>34</v>
      </c>
      <c r="S30" s="118">
        <v>0</v>
      </c>
      <c r="T30" s="39">
        <f t="shared" si="8"/>
        <v>2070.7870000000003</v>
      </c>
      <c r="U30" s="39">
        <f t="shared" si="9"/>
        <v>22.5</v>
      </c>
      <c r="V30" s="39">
        <v>21</v>
      </c>
      <c r="W30" s="39">
        <f t="shared" si="10"/>
        <v>2027.2870000000003</v>
      </c>
      <c r="X30" s="41">
        <v>5</v>
      </c>
      <c r="Y30" s="23">
        <v>30</v>
      </c>
      <c r="Z30" s="26">
        <f t="shared" si="13"/>
        <v>151.8987341772152</v>
      </c>
      <c r="AA30" s="27">
        <v>1.0126582278481013</v>
      </c>
      <c r="AB30" s="23">
        <f t="shared" si="12"/>
        <v>65</v>
      </c>
      <c r="AC30" s="23">
        <v>13</v>
      </c>
    </row>
    <row r="31" spans="1:29">
      <c r="A31" s="56">
        <v>22</v>
      </c>
      <c r="B31" s="1" t="s">
        <v>48</v>
      </c>
      <c r="C31" s="55">
        <v>25</v>
      </c>
      <c r="D31" s="43">
        <v>1</v>
      </c>
      <c r="E31" s="39"/>
      <c r="F31" s="39">
        <v>21</v>
      </c>
      <c r="G31" s="49">
        <v>1</v>
      </c>
      <c r="H31" s="39"/>
      <c r="I31" s="39">
        <v>2240.4070000000002</v>
      </c>
      <c r="J31" s="39">
        <f t="shared" si="6"/>
        <v>75</v>
      </c>
      <c r="K31" s="39"/>
      <c r="L31" s="39">
        <f t="shared" si="7"/>
        <v>300</v>
      </c>
      <c r="M31" s="39"/>
      <c r="N31" s="39"/>
      <c r="O31" s="39">
        <v>267</v>
      </c>
      <c r="P31" s="40"/>
      <c r="Q31" s="39">
        <v>25</v>
      </c>
      <c r="R31" s="118">
        <v>35</v>
      </c>
      <c r="S31" s="118">
        <v>0</v>
      </c>
      <c r="T31" s="39">
        <f t="shared" si="8"/>
        <v>2942.4070000000002</v>
      </c>
      <c r="U31" s="39">
        <f t="shared" si="9"/>
        <v>37.5</v>
      </c>
      <c r="V31" s="39">
        <v>43</v>
      </c>
      <c r="W31" s="39">
        <f t="shared" si="10"/>
        <v>2861.9070000000002</v>
      </c>
      <c r="X31" s="41">
        <v>10</v>
      </c>
      <c r="Y31" s="23">
        <v>30</v>
      </c>
      <c r="Z31" s="26">
        <f t="shared" si="13"/>
        <v>303.79746835443041</v>
      </c>
      <c r="AA31" s="27">
        <v>1.0126582278481013</v>
      </c>
      <c r="AB31" s="23">
        <f t="shared" si="12"/>
        <v>90</v>
      </c>
      <c r="AC31" s="23">
        <v>9</v>
      </c>
    </row>
    <row r="32" spans="1:29">
      <c r="A32" s="56">
        <v>23</v>
      </c>
      <c r="B32" s="1" t="s">
        <v>49</v>
      </c>
      <c r="C32" s="55">
        <v>21</v>
      </c>
      <c r="D32" s="43">
        <v>1</v>
      </c>
      <c r="E32" s="39"/>
      <c r="F32" s="39">
        <v>18</v>
      </c>
      <c r="G32" s="49">
        <v>1</v>
      </c>
      <c r="H32" s="39"/>
      <c r="I32" s="39">
        <v>1874.4770000000001</v>
      </c>
      <c r="J32" s="39">
        <f t="shared" si="6"/>
        <v>75</v>
      </c>
      <c r="K32" s="39"/>
      <c r="L32" s="39">
        <f t="shared" si="7"/>
        <v>240</v>
      </c>
      <c r="M32" s="39"/>
      <c r="N32" s="39"/>
      <c r="O32" s="39">
        <v>257</v>
      </c>
      <c r="P32" s="40"/>
      <c r="Q32" s="39">
        <v>5</v>
      </c>
      <c r="R32" s="118">
        <v>22</v>
      </c>
      <c r="S32" s="118">
        <v>0</v>
      </c>
      <c r="T32" s="39">
        <f t="shared" si="8"/>
        <v>2473.4769999999999</v>
      </c>
      <c r="U32" s="39">
        <f t="shared" si="9"/>
        <v>31.5</v>
      </c>
      <c r="V32" s="39">
        <v>36</v>
      </c>
      <c r="W32" s="39">
        <f t="shared" si="10"/>
        <v>2405.9769999999999</v>
      </c>
      <c r="X32" s="41">
        <v>8</v>
      </c>
      <c r="Y32" s="23">
        <v>30</v>
      </c>
      <c r="Z32" s="26">
        <f t="shared" si="13"/>
        <v>243.03797468354432</v>
      </c>
      <c r="AA32" s="27">
        <v>1.0126582278481013</v>
      </c>
      <c r="AB32" s="23">
        <f>+X32*AC32</f>
        <v>88</v>
      </c>
      <c r="AC32" s="23">
        <v>11</v>
      </c>
    </row>
    <row r="33" spans="1:29">
      <c r="A33" s="56">
        <v>24</v>
      </c>
      <c r="B33" s="1" t="s">
        <v>50</v>
      </c>
      <c r="C33" s="55">
        <v>25</v>
      </c>
      <c r="D33" s="43">
        <v>1</v>
      </c>
      <c r="E33" s="39"/>
      <c r="F33" s="39">
        <v>24</v>
      </c>
      <c r="G33" s="49">
        <v>1</v>
      </c>
      <c r="H33" s="39"/>
      <c r="I33" s="39">
        <v>2672.134</v>
      </c>
      <c r="J33" s="39">
        <f t="shared" si="6"/>
        <v>75</v>
      </c>
      <c r="K33" s="39">
        <v>15</v>
      </c>
      <c r="L33" s="39">
        <f t="shared" si="7"/>
        <v>270</v>
      </c>
      <c r="M33" s="39"/>
      <c r="N33" s="39"/>
      <c r="O33" s="39">
        <v>366</v>
      </c>
      <c r="P33" s="40">
        <v>44.405000000000001</v>
      </c>
      <c r="Q33" s="39">
        <v>14</v>
      </c>
      <c r="R33" s="118">
        <v>56</v>
      </c>
      <c r="S33" s="118">
        <v>12</v>
      </c>
      <c r="T33" s="39">
        <f t="shared" si="8"/>
        <v>3524.5390000000002</v>
      </c>
      <c r="U33" s="39">
        <f t="shared" si="9"/>
        <v>34.5</v>
      </c>
      <c r="V33" s="39">
        <v>43</v>
      </c>
      <c r="W33" s="39">
        <f t="shared" si="10"/>
        <v>3447.0390000000002</v>
      </c>
      <c r="X33" s="41">
        <v>9</v>
      </c>
      <c r="Y33" s="23">
        <v>30</v>
      </c>
      <c r="Z33" s="26">
        <f t="shared" si="13"/>
        <v>273.41772151898738</v>
      </c>
      <c r="AA33" s="27">
        <v>1.0126582278481013</v>
      </c>
      <c r="AB33" s="23">
        <f t="shared" si="12"/>
        <v>90</v>
      </c>
      <c r="AC33" s="23">
        <v>10</v>
      </c>
    </row>
    <row r="34" spans="1:29">
      <c r="A34" s="56">
        <v>25</v>
      </c>
      <c r="B34" s="1" t="s">
        <v>51</v>
      </c>
      <c r="C34" s="55">
        <v>25</v>
      </c>
      <c r="D34" s="43">
        <v>1</v>
      </c>
      <c r="E34" s="39"/>
      <c r="F34" s="39">
        <v>23</v>
      </c>
      <c r="G34" s="49">
        <v>1</v>
      </c>
      <c r="H34" s="39"/>
      <c r="I34" s="39">
        <v>2323.8029999999999</v>
      </c>
      <c r="J34" s="39">
        <f t="shared" si="6"/>
        <v>75</v>
      </c>
      <c r="K34" s="39"/>
      <c r="L34" s="39">
        <f t="shared" si="7"/>
        <v>270</v>
      </c>
      <c r="M34" s="39"/>
      <c r="N34" s="39"/>
      <c r="O34" s="39">
        <v>242</v>
      </c>
      <c r="P34" s="40"/>
      <c r="Q34" s="39">
        <v>8</v>
      </c>
      <c r="R34" s="118">
        <v>32</v>
      </c>
      <c r="S34" s="118">
        <v>0</v>
      </c>
      <c r="T34" s="39">
        <f t="shared" si="8"/>
        <v>2950.8029999999999</v>
      </c>
      <c r="U34" s="39">
        <f t="shared" si="9"/>
        <v>34.5</v>
      </c>
      <c r="V34" s="39">
        <v>38</v>
      </c>
      <c r="W34" s="39">
        <f t="shared" si="10"/>
        <v>2878.3029999999999</v>
      </c>
      <c r="X34" s="41">
        <v>9</v>
      </c>
      <c r="Y34" s="23">
        <v>30</v>
      </c>
      <c r="Z34" s="26">
        <f t="shared" si="13"/>
        <v>273.41772151898738</v>
      </c>
      <c r="AA34" s="27">
        <v>1.0126582278481013</v>
      </c>
      <c r="AB34" s="23">
        <f t="shared" si="12"/>
        <v>81</v>
      </c>
      <c r="AC34" s="23">
        <v>9</v>
      </c>
    </row>
    <row r="35" spans="1:29" s="29" customFormat="1">
      <c r="A35" s="33" t="s">
        <v>4</v>
      </c>
      <c r="B35" s="2" t="s">
        <v>52</v>
      </c>
      <c r="C35" s="36">
        <f t="shared" ref="C35:X35" si="14">SUM(C36:C54)</f>
        <v>570</v>
      </c>
      <c r="D35" s="36">
        <f t="shared" si="14"/>
        <v>24</v>
      </c>
      <c r="E35" s="36">
        <f t="shared" si="14"/>
        <v>0</v>
      </c>
      <c r="F35" s="50">
        <f t="shared" si="14"/>
        <v>536</v>
      </c>
      <c r="G35" s="50">
        <f t="shared" si="14"/>
        <v>24</v>
      </c>
      <c r="H35" s="36">
        <f t="shared" si="14"/>
        <v>0</v>
      </c>
      <c r="I35" s="36">
        <f t="shared" si="14"/>
        <v>67048.339882</v>
      </c>
      <c r="J35" s="36">
        <f t="shared" si="14"/>
        <v>1800</v>
      </c>
      <c r="K35" s="36">
        <f t="shared" si="14"/>
        <v>0</v>
      </c>
      <c r="L35" s="36">
        <f t="shared" si="14"/>
        <v>10256</v>
      </c>
      <c r="M35" s="36">
        <f t="shared" si="14"/>
        <v>0</v>
      </c>
      <c r="N35" s="36">
        <f t="shared" si="14"/>
        <v>135</v>
      </c>
      <c r="O35" s="36">
        <f t="shared" si="14"/>
        <v>10888</v>
      </c>
      <c r="P35" s="36">
        <f t="shared" si="14"/>
        <v>1216.5089999999998</v>
      </c>
      <c r="Q35" s="37">
        <f t="shared" si="14"/>
        <v>451</v>
      </c>
      <c r="R35" s="36">
        <f t="shared" si="14"/>
        <v>0</v>
      </c>
      <c r="S35" s="117">
        <f>SUM(S36:S54)</f>
        <v>259</v>
      </c>
      <c r="T35" s="36">
        <f t="shared" si="14"/>
        <v>92053.848881999991</v>
      </c>
      <c r="U35" s="37">
        <f t="shared" si="14"/>
        <v>1205.5999999999999</v>
      </c>
      <c r="V35" s="36">
        <f t="shared" si="14"/>
        <v>0</v>
      </c>
      <c r="W35" s="36">
        <f t="shared" si="14"/>
        <v>90848.248881999985</v>
      </c>
      <c r="X35" s="29">
        <f t="shared" si="14"/>
        <v>288</v>
      </c>
      <c r="Z35" s="42"/>
      <c r="AA35" s="27">
        <v>1.0126582278481013</v>
      </c>
      <c r="AB35" s="23">
        <f t="shared" si="12"/>
        <v>0</v>
      </c>
    </row>
    <row r="36" spans="1:29">
      <c r="A36" s="56">
        <v>1</v>
      </c>
      <c r="B36" s="1" t="s">
        <v>53</v>
      </c>
      <c r="C36" s="55">
        <v>23</v>
      </c>
      <c r="D36" s="43">
        <v>1</v>
      </c>
      <c r="E36" s="39"/>
      <c r="F36" s="39">
        <v>20</v>
      </c>
      <c r="G36" s="49">
        <v>1</v>
      </c>
      <c r="H36" s="39"/>
      <c r="I36" s="39">
        <v>2697.532882</v>
      </c>
      <c r="J36" s="39">
        <f t="shared" si="6"/>
        <v>75</v>
      </c>
      <c r="K36" s="39"/>
      <c r="L36" s="39">
        <f>+X36*Y36</f>
        <v>380</v>
      </c>
      <c r="M36" s="39"/>
      <c r="N36" s="39"/>
      <c r="O36" s="39">
        <v>338</v>
      </c>
      <c r="P36" s="40">
        <v>46.201999999999998</v>
      </c>
      <c r="Q36" s="118">
        <v>15</v>
      </c>
      <c r="R36" s="39"/>
      <c r="S36" s="118">
        <v>0</v>
      </c>
      <c r="T36" s="39">
        <f t="shared" ref="T36:T54" si="15">+SUM(I36:S36)</f>
        <v>3551.7348819999997</v>
      </c>
      <c r="U36" s="39">
        <f t="shared" si="9"/>
        <v>45.5</v>
      </c>
      <c r="V36" s="39"/>
      <c r="W36" s="39">
        <f t="shared" si="10"/>
        <v>3506.2348819999997</v>
      </c>
      <c r="X36" s="23">
        <v>10</v>
      </c>
      <c r="Y36" s="28">
        <v>38</v>
      </c>
      <c r="Z36" s="26">
        <f>X36*Y36*AA36</f>
        <v>384.81012658227849</v>
      </c>
      <c r="AA36" s="27">
        <v>1.0126582278481013</v>
      </c>
      <c r="AB36" s="23">
        <f t="shared" si="12"/>
        <v>0</v>
      </c>
    </row>
    <row r="37" spans="1:29">
      <c r="A37" s="56">
        <v>2</v>
      </c>
      <c r="B37" s="1" t="s">
        <v>54</v>
      </c>
      <c r="C37" s="55">
        <v>27</v>
      </c>
      <c r="D37" s="43">
        <v>1</v>
      </c>
      <c r="E37" s="39"/>
      <c r="F37" s="39">
        <v>20</v>
      </c>
      <c r="G37" s="49">
        <v>1</v>
      </c>
      <c r="H37" s="39"/>
      <c r="I37" s="39">
        <v>2886.3020000000001</v>
      </c>
      <c r="J37" s="39">
        <f t="shared" si="6"/>
        <v>75</v>
      </c>
      <c r="K37" s="39"/>
      <c r="L37" s="39">
        <f t="shared" ref="L37:L54" si="16">+X37*Y37</f>
        <v>570</v>
      </c>
      <c r="M37" s="39"/>
      <c r="N37" s="39"/>
      <c r="O37" s="39">
        <v>426</v>
      </c>
      <c r="P37" s="40">
        <v>94.52</v>
      </c>
      <c r="Q37" s="118">
        <v>46</v>
      </c>
      <c r="R37" s="39"/>
      <c r="S37" s="118">
        <v>12</v>
      </c>
      <c r="T37" s="39">
        <f t="shared" si="15"/>
        <v>4109.8220000000001</v>
      </c>
      <c r="U37" s="39">
        <f t="shared" si="9"/>
        <v>64.5</v>
      </c>
      <c r="V37" s="39"/>
      <c r="W37" s="39">
        <f t="shared" si="10"/>
        <v>4045.3220000000001</v>
      </c>
      <c r="X37" s="23">
        <v>15</v>
      </c>
      <c r="Y37" s="28">
        <v>38</v>
      </c>
      <c r="Z37" s="26">
        <f t="shared" ref="Z37:Z40" si="17">X37*Y37*AA37</f>
        <v>577.21518987341778</v>
      </c>
      <c r="AA37" s="27">
        <v>1.0126582278481013</v>
      </c>
      <c r="AB37" s="23">
        <f t="shared" si="12"/>
        <v>0</v>
      </c>
    </row>
    <row r="38" spans="1:29">
      <c r="A38" s="56">
        <v>3</v>
      </c>
      <c r="B38" s="1" t="s">
        <v>55</v>
      </c>
      <c r="C38" s="55">
        <v>34</v>
      </c>
      <c r="D38" s="43">
        <v>1</v>
      </c>
      <c r="E38" s="39"/>
      <c r="F38" s="39">
        <v>30</v>
      </c>
      <c r="G38" s="49">
        <v>1</v>
      </c>
      <c r="H38" s="39"/>
      <c r="I38" s="39">
        <v>4078.192</v>
      </c>
      <c r="J38" s="39">
        <f t="shared" si="6"/>
        <v>75</v>
      </c>
      <c r="K38" s="39"/>
      <c r="L38" s="39">
        <f t="shared" si="16"/>
        <v>646</v>
      </c>
      <c r="M38" s="39"/>
      <c r="N38" s="39">
        <v>15</v>
      </c>
      <c r="O38" s="39">
        <v>646</v>
      </c>
      <c r="P38" s="40">
        <v>44.201999999999998</v>
      </c>
      <c r="Q38" s="118">
        <v>45</v>
      </c>
      <c r="R38" s="39"/>
      <c r="S38" s="118">
        <v>12</v>
      </c>
      <c r="T38" s="39">
        <f t="shared" si="15"/>
        <v>5561.3940000000002</v>
      </c>
      <c r="U38" s="39">
        <f t="shared" si="9"/>
        <v>72.100000000000009</v>
      </c>
      <c r="V38" s="39"/>
      <c r="W38" s="39">
        <f t="shared" si="10"/>
        <v>5489.2939999999999</v>
      </c>
      <c r="X38" s="23">
        <v>17</v>
      </c>
      <c r="Y38" s="28">
        <v>38</v>
      </c>
      <c r="Z38" s="26">
        <f t="shared" si="17"/>
        <v>654.17721518987344</v>
      </c>
      <c r="AA38" s="27">
        <v>1.0126582278481013</v>
      </c>
      <c r="AB38" s="23">
        <f t="shared" si="12"/>
        <v>0</v>
      </c>
    </row>
    <row r="39" spans="1:29">
      <c r="A39" s="56">
        <v>4</v>
      </c>
      <c r="B39" s="1" t="s">
        <v>56</v>
      </c>
      <c r="C39" s="55">
        <v>25</v>
      </c>
      <c r="D39" s="43">
        <v>1</v>
      </c>
      <c r="E39" s="39"/>
      <c r="F39" s="39">
        <v>24</v>
      </c>
      <c r="G39" s="49">
        <v>1</v>
      </c>
      <c r="H39" s="39"/>
      <c r="I39" s="39">
        <v>3192.7510000000002</v>
      </c>
      <c r="J39" s="39">
        <f t="shared" si="6"/>
        <v>75</v>
      </c>
      <c r="K39" s="39"/>
      <c r="L39" s="39">
        <f t="shared" si="16"/>
        <v>494</v>
      </c>
      <c r="M39" s="39"/>
      <c r="N39" s="39">
        <v>15</v>
      </c>
      <c r="O39" s="39">
        <v>465</v>
      </c>
      <c r="P39" s="40">
        <v>43.317999999999998</v>
      </c>
      <c r="Q39" s="118">
        <v>28</v>
      </c>
      <c r="R39" s="39"/>
      <c r="S39" s="118">
        <v>12</v>
      </c>
      <c r="T39" s="39">
        <f t="shared" si="15"/>
        <v>4325.0690000000004</v>
      </c>
      <c r="U39" s="39">
        <f t="shared" si="9"/>
        <v>56.900000000000006</v>
      </c>
      <c r="V39" s="39"/>
      <c r="W39" s="39">
        <f t="shared" si="10"/>
        <v>4268.1690000000008</v>
      </c>
      <c r="X39" s="23">
        <v>13</v>
      </c>
      <c r="Y39" s="28">
        <v>38</v>
      </c>
      <c r="Z39" s="26">
        <f t="shared" si="17"/>
        <v>500.25316455696208</v>
      </c>
      <c r="AA39" s="27">
        <v>1.0126582278481013</v>
      </c>
      <c r="AB39" s="23">
        <f t="shared" si="12"/>
        <v>0</v>
      </c>
    </row>
    <row r="40" spans="1:29">
      <c r="A40" s="56">
        <v>5</v>
      </c>
      <c r="B40" s="1" t="s">
        <v>57</v>
      </c>
      <c r="C40" s="55">
        <v>27</v>
      </c>
      <c r="D40" s="43">
        <v>1</v>
      </c>
      <c r="E40" s="39"/>
      <c r="F40" s="39">
        <v>27</v>
      </c>
      <c r="G40" s="49">
        <v>1</v>
      </c>
      <c r="H40" s="39"/>
      <c r="I40" s="39">
        <v>3532.93</v>
      </c>
      <c r="J40" s="39">
        <f t="shared" si="6"/>
        <v>75</v>
      </c>
      <c r="K40" s="39"/>
      <c r="L40" s="39">
        <f t="shared" si="16"/>
        <v>532</v>
      </c>
      <c r="M40" s="39"/>
      <c r="N40" s="39"/>
      <c r="O40" s="39">
        <v>476</v>
      </c>
      <c r="P40" s="40">
        <v>35.618000000000002</v>
      </c>
      <c r="Q40" s="118">
        <v>19</v>
      </c>
      <c r="R40" s="39"/>
      <c r="S40" s="118">
        <v>12</v>
      </c>
      <c r="T40" s="39">
        <f t="shared" si="15"/>
        <v>4682.5480000000007</v>
      </c>
      <c r="U40" s="39">
        <f t="shared" si="9"/>
        <v>60.7</v>
      </c>
      <c r="V40" s="39"/>
      <c r="W40" s="39">
        <f t="shared" si="10"/>
        <v>4621.8480000000009</v>
      </c>
      <c r="X40" s="23">
        <v>14</v>
      </c>
      <c r="Y40" s="28">
        <v>38</v>
      </c>
      <c r="Z40" s="26">
        <f t="shared" si="17"/>
        <v>538.7341772151899</v>
      </c>
      <c r="AA40" s="27">
        <v>1.0126582278481013</v>
      </c>
      <c r="AB40" s="23">
        <f t="shared" si="12"/>
        <v>0</v>
      </c>
    </row>
    <row r="41" spans="1:29">
      <c r="A41" s="56">
        <v>6</v>
      </c>
      <c r="B41" s="1" t="s">
        <v>58</v>
      </c>
      <c r="C41" s="55">
        <v>27</v>
      </c>
      <c r="D41" s="43">
        <v>1</v>
      </c>
      <c r="E41" s="39"/>
      <c r="F41" s="39">
        <v>25</v>
      </c>
      <c r="G41" s="49">
        <v>1</v>
      </c>
      <c r="H41" s="39"/>
      <c r="I41" s="39">
        <v>3022.9630000000002</v>
      </c>
      <c r="J41" s="39">
        <f t="shared" si="6"/>
        <v>75</v>
      </c>
      <c r="K41" s="39"/>
      <c r="L41" s="39">
        <f t="shared" si="16"/>
        <v>490</v>
      </c>
      <c r="M41" s="39"/>
      <c r="N41" s="39">
        <v>15</v>
      </c>
      <c r="O41" s="39">
        <v>485</v>
      </c>
      <c r="P41" s="40">
        <v>100.73699999999999</v>
      </c>
      <c r="Q41" s="118">
        <v>20</v>
      </c>
      <c r="R41" s="39"/>
      <c r="S41" s="118">
        <v>12</v>
      </c>
      <c r="T41" s="39">
        <f t="shared" si="15"/>
        <v>4220.7</v>
      </c>
      <c r="U41" s="39">
        <f t="shared" si="9"/>
        <v>56.5</v>
      </c>
      <c r="V41" s="39"/>
      <c r="W41" s="39">
        <f t="shared" si="10"/>
        <v>4164.2</v>
      </c>
      <c r="X41" s="41">
        <v>14</v>
      </c>
      <c r="Y41" s="23">
        <v>35</v>
      </c>
      <c r="Z41" s="26">
        <f>X41*Y41*AA41</f>
        <v>496.20253164556965</v>
      </c>
      <c r="AA41" s="27">
        <v>1.0126582278481013</v>
      </c>
      <c r="AB41" s="23">
        <f t="shared" si="12"/>
        <v>0</v>
      </c>
    </row>
    <row r="42" spans="1:29">
      <c r="A42" s="56">
        <v>7</v>
      </c>
      <c r="B42" s="1" t="s">
        <v>59</v>
      </c>
      <c r="C42" s="55">
        <v>31</v>
      </c>
      <c r="D42" s="43">
        <v>1</v>
      </c>
      <c r="E42" s="39"/>
      <c r="F42" s="39">
        <v>30</v>
      </c>
      <c r="G42" s="49">
        <v>1</v>
      </c>
      <c r="H42" s="39"/>
      <c r="I42" s="39">
        <v>3628.5970000000002</v>
      </c>
      <c r="J42" s="39">
        <f t="shared" si="6"/>
        <v>75</v>
      </c>
      <c r="K42" s="39"/>
      <c r="L42" s="39">
        <f t="shared" si="16"/>
        <v>525</v>
      </c>
      <c r="M42" s="39"/>
      <c r="N42" s="39">
        <v>15</v>
      </c>
      <c r="O42" s="39">
        <v>609</v>
      </c>
      <c r="P42" s="40">
        <v>86.652000000000001</v>
      </c>
      <c r="Q42" s="118">
        <v>18</v>
      </c>
      <c r="R42" s="39"/>
      <c r="S42" s="118">
        <v>0</v>
      </c>
      <c r="T42" s="39">
        <f t="shared" si="15"/>
        <v>4957.2489999999998</v>
      </c>
      <c r="U42" s="39">
        <f t="shared" si="9"/>
        <v>60</v>
      </c>
      <c r="V42" s="39"/>
      <c r="W42" s="39">
        <f t="shared" si="10"/>
        <v>4897.2489999999998</v>
      </c>
      <c r="X42" s="41">
        <v>15</v>
      </c>
      <c r="Y42" s="23">
        <v>35</v>
      </c>
      <c r="Z42" s="26">
        <f t="shared" ref="Z42:Z54" si="18">X42*Y42*AA42</f>
        <v>531.64556962025324</v>
      </c>
      <c r="AA42" s="27">
        <v>1.0126582278481013</v>
      </c>
      <c r="AB42" s="23">
        <f t="shared" si="12"/>
        <v>0</v>
      </c>
    </row>
    <row r="43" spans="1:29">
      <c r="A43" s="56">
        <v>8</v>
      </c>
      <c r="B43" s="1" t="s">
        <v>60</v>
      </c>
      <c r="C43" s="55">
        <v>23</v>
      </c>
      <c r="D43" s="43">
        <v>1</v>
      </c>
      <c r="E43" s="39"/>
      <c r="F43" s="39">
        <v>23</v>
      </c>
      <c r="G43" s="49">
        <v>1</v>
      </c>
      <c r="H43" s="39"/>
      <c r="I43" s="39">
        <v>2722.23</v>
      </c>
      <c r="J43" s="39">
        <f t="shared" si="6"/>
        <v>75</v>
      </c>
      <c r="K43" s="39"/>
      <c r="L43" s="39">
        <f t="shared" si="16"/>
        <v>350</v>
      </c>
      <c r="M43" s="39"/>
      <c r="N43" s="39">
        <v>15</v>
      </c>
      <c r="O43" s="39">
        <v>421</v>
      </c>
      <c r="P43" s="40">
        <v>37.201999999999998</v>
      </c>
      <c r="Q43" s="118">
        <v>7</v>
      </c>
      <c r="R43" s="39"/>
      <c r="S43" s="118">
        <v>12</v>
      </c>
      <c r="T43" s="39">
        <f t="shared" si="15"/>
        <v>3639.4319999999998</v>
      </c>
      <c r="U43" s="39">
        <f t="shared" si="9"/>
        <v>42.5</v>
      </c>
      <c r="V43" s="39"/>
      <c r="W43" s="39">
        <f t="shared" si="10"/>
        <v>3596.9319999999998</v>
      </c>
      <c r="X43" s="41">
        <v>10</v>
      </c>
      <c r="Y43" s="23">
        <v>35</v>
      </c>
      <c r="Z43" s="26">
        <f t="shared" si="18"/>
        <v>354.43037974683546</v>
      </c>
      <c r="AA43" s="27">
        <v>1.0126582278481013</v>
      </c>
      <c r="AB43" s="23">
        <f t="shared" si="12"/>
        <v>0</v>
      </c>
    </row>
    <row r="44" spans="1:29">
      <c r="A44" s="56">
        <v>9</v>
      </c>
      <c r="B44" s="9" t="s">
        <v>80</v>
      </c>
      <c r="C44" s="55">
        <v>32</v>
      </c>
      <c r="D44" s="43">
        <v>2</v>
      </c>
      <c r="E44" s="39"/>
      <c r="F44" s="39">
        <v>31</v>
      </c>
      <c r="G44" s="49">
        <v>2</v>
      </c>
      <c r="H44" s="39"/>
      <c r="I44" s="39">
        <v>3564.3519999999999</v>
      </c>
      <c r="J44" s="39">
        <f t="shared" si="6"/>
        <v>150</v>
      </c>
      <c r="K44" s="39"/>
      <c r="L44" s="39">
        <f t="shared" si="16"/>
        <v>525</v>
      </c>
      <c r="M44" s="39"/>
      <c r="N44" s="39"/>
      <c r="O44" s="39">
        <v>512</v>
      </c>
      <c r="P44" s="40">
        <v>33.170999999999999</v>
      </c>
      <c r="Q44" s="118">
        <v>11</v>
      </c>
      <c r="R44" s="39"/>
      <c r="S44" s="118">
        <v>12</v>
      </c>
      <c r="T44" s="39">
        <f t="shared" si="15"/>
        <v>4807.5230000000001</v>
      </c>
      <c r="U44" s="39">
        <f t="shared" si="9"/>
        <v>67.5</v>
      </c>
      <c r="V44" s="39"/>
      <c r="W44" s="39">
        <f t="shared" si="10"/>
        <v>4740.0230000000001</v>
      </c>
      <c r="X44" s="41">
        <v>15</v>
      </c>
      <c r="Y44" s="23">
        <v>35</v>
      </c>
      <c r="Z44" s="26">
        <f t="shared" si="18"/>
        <v>531.64556962025324</v>
      </c>
      <c r="AA44" s="27">
        <v>1.0126582278481013</v>
      </c>
      <c r="AB44" s="23">
        <f t="shared" si="12"/>
        <v>0</v>
      </c>
    </row>
    <row r="45" spans="1:29">
      <c r="A45" s="56">
        <v>10</v>
      </c>
      <c r="B45" s="1" t="s">
        <v>61</v>
      </c>
      <c r="C45" s="55">
        <v>21</v>
      </c>
      <c r="D45" s="43">
        <v>1</v>
      </c>
      <c r="E45" s="39"/>
      <c r="F45" s="39">
        <v>21</v>
      </c>
      <c r="G45" s="49">
        <v>1</v>
      </c>
      <c r="H45" s="39"/>
      <c r="I45" s="39">
        <v>2522.7759999999998</v>
      </c>
      <c r="J45" s="39">
        <f t="shared" si="6"/>
        <v>75</v>
      </c>
      <c r="K45" s="39"/>
      <c r="L45" s="39">
        <f t="shared" si="16"/>
        <v>350</v>
      </c>
      <c r="M45" s="39"/>
      <c r="N45" s="39"/>
      <c r="O45" s="39">
        <v>397</v>
      </c>
      <c r="P45" s="40"/>
      <c r="Q45" s="118">
        <v>8</v>
      </c>
      <c r="R45" s="39"/>
      <c r="S45" s="118">
        <v>0</v>
      </c>
      <c r="T45" s="39">
        <f t="shared" si="15"/>
        <v>3352.7759999999998</v>
      </c>
      <c r="U45" s="39">
        <f t="shared" si="9"/>
        <v>42.5</v>
      </c>
      <c r="V45" s="39"/>
      <c r="W45" s="39">
        <f t="shared" si="10"/>
        <v>3310.2759999999998</v>
      </c>
      <c r="X45" s="41">
        <v>10</v>
      </c>
      <c r="Y45" s="23">
        <v>35</v>
      </c>
      <c r="Z45" s="26">
        <f t="shared" si="18"/>
        <v>354.43037974683546</v>
      </c>
      <c r="AA45" s="27">
        <v>1.0126582278481013</v>
      </c>
      <c r="AB45" s="23">
        <f t="shared" si="12"/>
        <v>0</v>
      </c>
    </row>
    <row r="46" spans="1:29">
      <c r="A46" s="56">
        <v>11</v>
      </c>
      <c r="B46" s="1" t="s">
        <v>62</v>
      </c>
      <c r="C46" s="55">
        <v>55</v>
      </c>
      <c r="D46" s="43">
        <v>1</v>
      </c>
      <c r="E46" s="39"/>
      <c r="F46" s="39">
        <v>51</v>
      </c>
      <c r="G46" s="49">
        <v>1</v>
      </c>
      <c r="H46" s="39"/>
      <c r="I46" s="39">
        <v>6017.7860000000001</v>
      </c>
      <c r="J46" s="39">
        <f t="shared" si="6"/>
        <v>75</v>
      </c>
      <c r="K46" s="39"/>
      <c r="L46" s="39">
        <f t="shared" si="16"/>
        <v>1054</v>
      </c>
      <c r="M46" s="39"/>
      <c r="N46" s="39">
        <v>15</v>
      </c>
      <c r="O46" s="39">
        <v>903</v>
      </c>
      <c r="P46" s="40">
        <v>155.505</v>
      </c>
      <c r="Q46" s="118">
        <v>26</v>
      </c>
      <c r="R46" s="39"/>
      <c r="S46" s="118">
        <v>48</v>
      </c>
      <c r="T46" s="39">
        <f t="shared" si="15"/>
        <v>8294.2909999999993</v>
      </c>
      <c r="U46" s="39">
        <f t="shared" si="9"/>
        <v>112.9</v>
      </c>
      <c r="V46" s="39"/>
      <c r="W46" s="39">
        <f t="shared" si="10"/>
        <v>8181.3909999999996</v>
      </c>
      <c r="X46" s="41">
        <v>31</v>
      </c>
      <c r="Y46" s="28">
        <v>34</v>
      </c>
      <c r="Z46" s="26">
        <f t="shared" si="18"/>
        <v>1067.3417721518988</v>
      </c>
      <c r="AA46" s="27">
        <v>1.0126582278481013</v>
      </c>
      <c r="AB46" s="23">
        <f t="shared" si="12"/>
        <v>0</v>
      </c>
    </row>
    <row r="47" spans="1:29">
      <c r="A47" s="56">
        <v>12</v>
      </c>
      <c r="B47" s="1" t="s">
        <v>90</v>
      </c>
      <c r="C47" s="55">
        <v>43</v>
      </c>
      <c r="D47" s="43">
        <v>2</v>
      </c>
      <c r="E47" s="39"/>
      <c r="F47" s="39">
        <v>42</v>
      </c>
      <c r="G47" s="49">
        <v>2</v>
      </c>
      <c r="H47" s="39"/>
      <c r="I47" s="39">
        <v>5135.72</v>
      </c>
      <c r="J47" s="39">
        <f t="shared" si="6"/>
        <v>150</v>
      </c>
      <c r="K47" s="39"/>
      <c r="L47" s="39">
        <f t="shared" si="16"/>
        <v>805</v>
      </c>
      <c r="M47" s="39"/>
      <c r="N47" s="39"/>
      <c r="O47" s="39">
        <v>831</v>
      </c>
      <c r="P47" s="40">
        <v>203</v>
      </c>
      <c r="Q47" s="118">
        <v>55</v>
      </c>
      <c r="R47" s="39"/>
      <c r="S47" s="118">
        <v>46</v>
      </c>
      <c r="T47" s="39">
        <f t="shared" si="15"/>
        <v>7225.72</v>
      </c>
      <c r="U47" s="39">
        <f t="shared" si="9"/>
        <v>95.5</v>
      </c>
      <c r="V47" s="39"/>
      <c r="W47" s="39">
        <f t="shared" si="10"/>
        <v>7130.22</v>
      </c>
      <c r="X47" s="41">
        <v>23</v>
      </c>
      <c r="Y47" s="23">
        <v>35</v>
      </c>
      <c r="Z47" s="26">
        <f t="shared" si="18"/>
        <v>815.18987341772163</v>
      </c>
      <c r="AA47" s="27">
        <v>1.0126582278481013</v>
      </c>
      <c r="AB47" s="23">
        <f t="shared" si="12"/>
        <v>0</v>
      </c>
    </row>
    <row r="48" spans="1:29">
      <c r="A48" s="56">
        <v>13</v>
      </c>
      <c r="B48" s="48" t="s">
        <v>144</v>
      </c>
      <c r="C48" s="55">
        <v>29</v>
      </c>
      <c r="D48" s="43">
        <v>2</v>
      </c>
      <c r="E48" s="39"/>
      <c r="F48" s="39">
        <v>25</v>
      </c>
      <c r="G48" s="49">
        <v>2</v>
      </c>
      <c r="H48" s="39"/>
      <c r="I48" s="39">
        <v>3189.8629999999998</v>
      </c>
      <c r="J48" s="39">
        <f t="shared" si="6"/>
        <v>150</v>
      </c>
      <c r="K48" s="39"/>
      <c r="L48" s="39">
        <f t="shared" si="16"/>
        <v>490</v>
      </c>
      <c r="M48" s="46"/>
      <c r="N48" s="39"/>
      <c r="O48" s="39">
        <v>476</v>
      </c>
      <c r="P48" s="40">
        <v>96.435000000000002</v>
      </c>
      <c r="Q48" s="118">
        <v>45</v>
      </c>
      <c r="R48" s="39"/>
      <c r="S48" s="118">
        <v>34</v>
      </c>
      <c r="T48" s="39">
        <f t="shared" si="15"/>
        <v>4481.2979999999998</v>
      </c>
      <c r="U48" s="39">
        <f t="shared" si="9"/>
        <v>64</v>
      </c>
      <c r="V48" s="39"/>
      <c r="W48" s="39">
        <f t="shared" si="10"/>
        <v>4417.2979999999998</v>
      </c>
      <c r="X48" s="41">
        <v>14</v>
      </c>
      <c r="Y48" s="23">
        <v>35</v>
      </c>
      <c r="Z48" s="26">
        <f t="shared" si="18"/>
        <v>496.20253164556965</v>
      </c>
      <c r="AA48" s="27">
        <v>1.0126582278481013</v>
      </c>
      <c r="AB48" s="23">
        <f t="shared" si="12"/>
        <v>70</v>
      </c>
      <c r="AC48" s="23">
        <v>5</v>
      </c>
    </row>
    <row r="49" spans="1:29">
      <c r="A49" s="56">
        <v>14</v>
      </c>
      <c r="B49" s="48" t="s">
        <v>145</v>
      </c>
      <c r="C49" s="55">
        <v>20</v>
      </c>
      <c r="D49" s="43">
        <v>1</v>
      </c>
      <c r="E49" s="39"/>
      <c r="F49" s="39">
        <v>17</v>
      </c>
      <c r="G49" s="49">
        <v>1</v>
      </c>
      <c r="H49" s="39"/>
      <c r="I49" s="39">
        <v>2144.1689999999999</v>
      </c>
      <c r="J49" s="39">
        <f t="shared" si="6"/>
        <v>75</v>
      </c>
      <c r="K49" s="39"/>
      <c r="L49" s="39">
        <f t="shared" si="16"/>
        <v>350</v>
      </c>
      <c r="M49" s="46"/>
      <c r="N49" s="39"/>
      <c r="O49" s="39">
        <v>330</v>
      </c>
      <c r="P49" s="40">
        <v>29.623999999999999</v>
      </c>
      <c r="Q49" s="118">
        <v>16</v>
      </c>
      <c r="R49" s="39"/>
      <c r="S49" s="118">
        <v>0</v>
      </c>
      <c r="T49" s="39">
        <f t="shared" si="15"/>
        <v>2944.7929999999997</v>
      </c>
      <c r="U49" s="39">
        <f t="shared" si="9"/>
        <v>42.5</v>
      </c>
      <c r="V49" s="39"/>
      <c r="W49" s="39">
        <f t="shared" si="10"/>
        <v>2902.2929999999997</v>
      </c>
      <c r="X49" s="41">
        <v>10</v>
      </c>
      <c r="Y49" s="23">
        <v>35</v>
      </c>
      <c r="Z49" s="26">
        <f t="shared" si="18"/>
        <v>354.43037974683546</v>
      </c>
      <c r="AA49" s="27">
        <v>1.0126582278481013</v>
      </c>
      <c r="AB49" s="23">
        <f t="shared" si="12"/>
        <v>80</v>
      </c>
      <c r="AC49" s="23">
        <v>8</v>
      </c>
    </row>
    <row r="50" spans="1:29">
      <c r="A50" s="56">
        <v>15</v>
      </c>
      <c r="B50" s="48" t="s">
        <v>91</v>
      </c>
      <c r="C50" s="55">
        <v>41</v>
      </c>
      <c r="D50" s="43">
        <v>3</v>
      </c>
      <c r="E50" s="39"/>
      <c r="F50" s="39">
        <v>39</v>
      </c>
      <c r="G50" s="49">
        <v>3</v>
      </c>
      <c r="H50" s="39"/>
      <c r="I50" s="39">
        <v>4814.1289999999999</v>
      </c>
      <c r="J50" s="39">
        <f t="shared" si="6"/>
        <v>225</v>
      </c>
      <c r="K50" s="39"/>
      <c r="L50" s="39">
        <f t="shared" si="16"/>
        <v>805</v>
      </c>
      <c r="M50" s="46"/>
      <c r="N50" s="39"/>
      <c r="O50" s="39">
        <v>924</v>
      </c>
      <c r="P50" s="40">
        <v>61.195999999999998</v>
      </c>
      <c r="Q50" s="118">
        <v>46</v>
      </c>
      <c r="R50" s="39"/>
      <c r="S50" s="118">
        <v>12</v>
      </c>
      <c r="T50" s="39">
        <f t="shared" si="15"/>
        <v>6887.3249999999998</v>
      </c>
      <c r="U50" s="39">
        <f t="shared" si="9"/>
        <v>103</v>
      </c>
      <c r="V50" s="39"/>
      <c r="W50" s="39">
        <f t="shared" si="10"/>
        <v>6784.3249999999998</v>
      </c>
      <c r="X50" s="41">
        <v>23</v>
      </c>
      <c r="Y50" s="23">
        <v>35</v>
      </c>
      <c r="Z50" s="26">
        <f t="shared" si="18"/>
        <v>815.18987341772163</v>
      </c>
      <c r="AA50" s="27">
        <v>1.0126582278481013</v>
      </c>
      <c r="AB50" s="23">
        <f t="shared" si="12"/>
        <v>115</v>
      </c>
      <c r="AC50" s="23">
        <v>5</v>
      </c>
    </row>
    <row r="51" spans="1:29">
      <c r="A51" s="56">
        <v>16</v>
      </c>
      <c r="B51" s="48" t="s">
        <v>63</v>
      </c>
      <c r="C51" s="55">
        <v>21</v>
      </c>
      <c r="D51" s="43">
        <v>1</v>
      </c>
      <c r="E51" s="39"/>
      <c r="F51" s="39">
        <v>21</v>
      </c>
      <c r="G51" s="49">
        <v>1</v>
      </c>
      <c r="H51" s="39"/>
      <c r="I51" s="39">
        <v>2547.549</v>
      </c>
      <c r="J51" s="39">
        <f t="shared" si="6"/>
        <v>75</v>
      </c>
      <c r="K51" s="39"/>
      <c r="L51" s="39">
        <f t="shared" si="16"/>
        <v>350</v>
      </c>
      <c r="M51" s="39"/>
      <c r="N51" s="39">
        <v>15</v>
      </c>
      <c r="O51" s="39">
        <v>455</v>
      </c>
      <c r="P51" s="40">
        <v>15.379</v>
      </c>
      <c r="Q51" s="118">
        <v>8</v>
      </c>
      <c r="R51" s="39"/>
      <c r="S51" s="118">
        <v>0</v>
      </c>
      <c r="T51" s="39">
        <f t="shared" si="15"/>
        <v>3465.9279999999999</v>
      </c>
      <c r="U51" s="39">
        <f t="shared" si="9"/>
        <v>42.5</v>
      </c>
      <c r="V51" s="39"/>
      <c r="W51" s="39">
        <f t="shared" si="10"/>
        <v>3423.4279999999999</v>
      </c>
      <c r="X51" s="41">
        <v>10</v>
      </c>
      <c r="Y51" s="23">
        <v>35</v>
      </c>
      <c r="Z51" s="26">
        <f t="shared" si="18"/>
        <v>354.43037974683546</v>
      </c>
      <c r="AA51" s="27">
        <v>1.0126582278481013</v>
      </c>
      <c r="AB51" s="23">
        <f t="shared" si="12"/>
        <v>0</v>
      </c>
    </row>
    <row r="52" spans="1:29">
      <c r="A52" s="56">
        <v>17</v>
      </c>
      <c r="B52" s="48" t="s">
        <v>64</v>
      </c>
      <c r="C52" s="55">
        <v>30</v>
      </c>
      <c r="D52" s="43">
        <v>1</v>
      </c>
      <c r="E52" s="39"/>
      <c r="F52" s="39">
        <v>29</v>
      </c>
      <c r="G52" s="49">
        <v>1</v>
      </c>
      <c r="H52" s="39"/>
      <c r="I52" s="39">
        <v>3606.3519999999999</v>
      </c>
      <c r="J52" s="39">
        <f t="shared" si="6"/>
        <v>75</v>
      </c>
      <c r="K52" s="39"/>
      <c r="L52" s="39">
        <f t="shared" si="16"/>
        <v>490</v>
      </c>
      <c r="M52" s="39"/>
      <c r="N52" s="39"/>
      <c r="O52" s="39">
        <v>664</v>
      </c>
      <c r="P52" s="40">
        <v>57.756999999999998</v>
      </c>
      <c r="Q52" s="118">
        <v>9</v>
      </c>
      <c r="R52" s="39"/>
      <c r="S52" s="118">
        <v>23</v>
      </c>
      <c r="T52" s="39">
        <f t="shared" si="15"/>
        <v>4925.1089999999995</v>
      </c>
      <c r="U52" s="39">
        <f t="shared" si="9"/>
        <v>56.5</v>
      </c>
      <c r="V52" s="39"/>
      <c r="W52" s="39">
        <f t="shared" si="10"/>
        <v>4868.6089999999995</v>
      </c>
      <c r="X52" s="41">
        <v>14</v>
      </c>
      <c r="Y52" s="23">
        <v>35</v>
      </c>
      <c r="Z52" s="26">
        <f>X52*Y52*AA52</f>
        <v>496.20253164556965</v>
      </c>
      <c r="AA52" s="27">
        <v>1.0126582278481013</v>
      </c>
      <c r="AB52" s="23">
        <f t="shared" si="12"/>
        <v>0</v>
      </c>
    </row>
    <row r="53" spans="1:29">
      <c r="A53" s="56">
        <v>18</v>
      </c>
      <c r="B53" s="48" t="s">
        <v>65</v>
      </c>
      <c r="C53" s="55">
        <v>29</v>
      </c>
      <c r="D53" s="43">
        <v>1</v>
      </c>
      <c r="E53" s="39"/>
      <c r="F53" s="39">
        <v>29</v>
      </c>
      <c r="G53" s="49">
        <v>1</v>
      </c>
      <c r="H53" s="39"/>
      <c r="I53" s="39">
        <v>3689.6570000000002</v>
      </c>
      <c r="J53" s="39">
        <f t="shared" si="6"/>
        <v>75</v>
      </c>
      <c r="K53" s="39"/>
      <c r="L53" s="39">
        <f t="shared" si="16"/>
        <v>455</v>
      </c>
      <c r="M53" s="39"/>
      <c r="N53" s="39">
        <v>15</v>
      </c>
      <c r="O53" s="39">
        <v>719</v>
      </c>
      <c r="P53" s="40">
        <v>45.284999999999997</v>
      </c>
      <c r="Q53" s="118">
        <v>10</v>
      </c>
      <c r="R53" s="39"/>
      <c r="S53" s="118">
        <v>12</v>
      </c>
      <c r="T53" s="39">
        <f t="shared" si="15"/>
        <v>5020.942</v>
      </c>
      <c r="U53" s="39">
        <f t="shared" si="9"/>
        <v>53</v>
      </c>
      <c r="V53" s="39"/>
      <c r="W53" s="39">
        <f t="shared" si="10"/>
        <v>4967.942</v>
      </c>
      <c r="X53" s="41">
        <v>13</v>
      </c>
      <c r="Y53" s="23">
        <v>35</v>
      </c>
      <c r="Z53" s="26">
        <f t="shared" si="18"/>
        <v>460.75949367088612</v>
      </c>
      <c r="AA53" s="27">
        <v>1.0126582278481013</v>
      </c>
      <c r="AB53" s="23">
        <f t="shared" si="12"/>
        <v>0</v>
      </c>
    </row>
    <row r="54" spans="1:29">
      <c r="A54" s="56">
        <v>19</v>
      </c>
      <c r="B54" s="48" t="s">
        <v>66</v>
      </c>
      <c r="C54" s="55">
        <v>32</v>
      </c>
      <c r="D54" s="43">
        <v>1</v>
      </c>
      <c r="E54" s="39"/>
      <c r="F54" s="39">
        <v>32</v>
      </c>
      <c r="G54" s="49">
        <v>1</v>
      </c>
      <c r="H54" s="39"/>
      <c r="I54" s="39">
        <v>4054.489</v>
      </c>
      <c r="J54" s="39">
        <f t="shared" si="6"/>
        <v>75</v>
      </c>
      <c r="K54" s="39"/>
      <c r="L54" s="39">
        <f t="shared" si="16"/>
        <v>595</v>
      </c>
      <c r="M54" s="39"/>
      <c r="N54" s="39">
        <v>15</v>
      </c>
      <c r="O54" s="39">
        <v>811</v>
      </c>
      <c r="P54" s="40">
        <v>30.706</v>
      </c>
      <c r="Q54" s="118">
        <v>19</v>
      </c>
      <c r="R54" s="39"/>
      <c r="S54" s="118">
        <v>0</v>
      </c>
      <c r="T54" s="39">
        <f t="shared" si="15"/>
        <v>5600.1949999999997</v>
      </c>
      <c r="U54" s="39">
        <f t="shared" si="9"/>
        <v>67</v>
      </c>
      <c r="V54" s="39"/>
      <c r="W54" s="39">
        <f t="shared" si="10"/>
        <v>5533.1949999999997</v>
      </c>
      <c r="X54" s="41">
        <v>17</v>
      </c>
      <c r="Y54" s="23">
        <v>35</v>
      </c>
      <c r="Z54" s="26">
        <f t="shared" si="18"/>
        <v>602.53164556962031</v>
      </c>
      <c r="AA54" s="27">
        <v>1.0126582278481013</v>
      </c>
      <c r="AB54" s="23">
        <f t="shared" si="12"/>
        <v>0</v>
      </c>
    </row>
    <row r="55" spans="1:29" s="29" customFormat="1">
      <c r="A55" s="33" t="s">
        <v>22</v>
      </c>
      <c r="B55" s="2" t="s">
        <v>67</v>
      </c>
      <c r="C55" s="36">
        <f>SUM(C56:C70)</f>
        <v>593</v>
      </c>
      <c r="D55" s="36">
        <f>SUM(D56:D70)</f>
        <v>18</v>
      </c>
      <c r="E55" s="36">
        <f t="shared" ref="E55:G55" si="19">SUM(E56:E70)</f>
        <v>0</v>
      </c>
      <c r="F55" s="51">
        <f t="shared" si="19"/>
        <v>581</v>
      </c>
      <c r="G55" s="51">
        <f t="shared" si="19"/>
        <v>18</v>
      </c>
      <c r="H55" s="36"/>
      <c r="I55" s="36">
        <f>SUM(I56:I70)</f>
        <v>67047.115999999995</v>
      </c>
      <c r="J55" s="36">
        <f>SUM(J56:J70)</f>
        <v>1350</v>
      </c>
      <c r="K55" s="36">
        <f>SUM(K56:K70)</f>
        <v>0</v>
      </c>
      <c r="L55" s="36">
        <f>SUM(L56:L70)</f>
        <v>6469</v>
      </c>
      <c r="M55" s="36">
        <f t="shared" ref="M55:N55" si="20">SUM(M56:M70)</f>
        <v>0</v>
      </c>
      <c r="N55" s="36">
        <f t="shared" si="20"/>
        <v>210</v>
      </c>
      <c r="O55" s="36">
        <f>SUM(O56:O70)</f>
        <v>10057</v>
      </c>
      <c r="P55" s="36">
        <f>SUM(P56:P70)</f>
        <v>974.26499999999987</v>
      </c>
      <c r="Q55" s="37">
        <f>SUM(Q56:Q70)</f>
        <v>464</v>
      </c>
      <c r="R55" s="37">
        <f t="shared" ref="R55:T55" si="21">SUM(R56:R70)</f>
        <v>0</v>
      </c>
      <c r="S55" s="119">
        <f>SUM(S56:S70)</f>
        <v>199</v>
      </c>
      <c r="T55" s="36">
        <f t="shared" si="21"/>
        <v>86770.380999999994</v>
      </c>
      <c r="U55" s="37">
        <f t="shared" ref="U55" si="22">SUM(U56:U70)</f>
        <v>781.90000000000009</v>
      </c>
      <c r="V55" s="37">
        <f t="shared" ref="V55" si="23">SUM(V56:V70)</f>
        <v>743</v>
      </c>
      <c r="W55" s="36">
        <f t="shared" ref="W55" si="24">SUM(W56:W70)</f>
        <v>85245.481</v>
      </c>
      <c r="X55" s="29">
        <f>SUM(X56:X70)</f>
        <v>198</v>
      </c>
      <c r="Z55" s="42"/>
      <c r="AA55" s="27">
        <v>1.0126582278481013</v>
      </c>
      <c r="AB55" s="23">
        <f t="shared" si="12"/>
        <v>0</v>
      </c>
    </row>
    <row r="56" spans="1:29">
      <c r="A56" s="56">
        <v>1</v>
      </c>
      <c r="B56" s="1" t="s">
        <v>68</v>
      </c>
      <c r="C56" s="55">
        <v>32</v>
      </c>
      <c r="D56" s="43">
        <v>1</v>
      </c>
      <c r="E56" s="39"/>
      <c r="F56" s="52">
        <v>29</v>
      </c>
      <c r="G56" s="53">
        <v>1</v>
      </c>
      <c r="H56" s="39"/>
      <c r="I56" s="39">
        <v>3500.011</v>
      </c>
      <c r="J56" s="39">
        <f t="shared" si="6"/>
        <v>75</v>
      </c>
      <c r="K56" s="39"/>
      <c r="L56" s="39">
        <f>+X56*Y56</f>
        <v>420</v>
      </c>
      <c r="M56" s="39"/>
      <c r="N56" s="39">
        <v>15</v>
      </c>
      <c r="O56" s="39">
        <v>448</v>
      </c>
      <c r="P56" s="40">
        <v>90.507000000000005</v>
      </c>
      <c r="Q56" s="118">
        <v>45</v>
      </c>
      <c r="R56" s="39"/>
      <c r="S56" s="118">
        <v>22</v>
      </c>
      <c r="T56" s="39">
        <f t="shared" ref="T56:T70" si="25">+SUM(I56:S56)</f>
        <v>4615.518</v>
      </c>
      <c r="U56" s="39">
        <f t="shared" si="9"/>
        <v>49.5</v>
      </c>
      <c r="V56" s="39">
        <v>47</v>
      </c>
      <c r="W56" s="39">
        <f t="shared" si="10"/>
        <v>4519.018</v>
      </c>
      <c r="X56" s="23">
        <v>12</v>
      </c>
      <c r="Y56" s="28">
        <v>35</v>
      </c>
      <c r="Z56" s="26">
        <f>X56*Y56*AA56</f>
        <v>425.31645569620258</v>
      </c>
      <c r="AA56" s="27">
        <v>1.0126582278481013</v>
      </c>
      <c r="AB56" s="23">
        <f t="shared" si="12"/>
        <v>0</v>
      </c>
    </row>
    <row r="57" spans="1:29">
      <c r="A57" s="56">
        <v>2</v>
      </c>
      <c r="B57" s="1" t="s">
        <v>69</v>
      </c>
      <c r="C57" s="55">
        <v>28</v>
      </c>
      <c r="D57" s="43">
        <v>1</v>
      </c>
      <c r="E57" s="39"/>
      <c r="F57" s="52">
        <v>28</v>
      </c>
      <c r="G57" s="53">
        <v>1</v>
      </c>
      <c r="H57" s="39"/>
      <c r="I57" s="39">
        <v>3415.29</v>
      </c>
      <c r="J57" s="39">
        <f t="shared" si="6"/>
        <v>75</v>
      </c>
      <c r="K57" s="39"/>
      <c r="L57" s="39">
        <f t="shared" ref="L57:L70" si="26">+X57*Y57</f>
        <v>280</v>
      </c>
      <c r="M57" s="39"/>
      <c r="N57" s="39">
        <v>15</v>
      </c>
      <c r="O57" s="39">
        <v>484</v>
      </c>
      <c r="P57" s="40">
        <v>32.451000000000001</v>
      </c>
      <c r="Q57" s="118">
        <v>24</v>
      </c>
      <c r="R57" s="39"/>
      <c r="S57" s="118">
        <v>12</v>
      </c>
      <c r="T57" s="39">
        <f t="shared" si="25"/>
        <v>4337.741</v>
      </c>
      <c r="U57" s="39">
        <f t="shared" si="9"/>
        <v>35.5</v>
      </c>
      <c r="V57" s="39">
        <v>33</v>
      </c>
      <c r="W57" s="39">
        <f t="shared" si="10"/>
        <v>4269.241</v>
      </c>
      <c r="X57" s="23">
        <v>8</v>
      </c>
      <c r="Y57" s="28">
        <v>35</v>
      </c>
      <c r="Z57" s="26">
        <f t="shared" ref="Z57:Z58" si="27">X57*Y57*AA57</f>
        <v>283.54430379746839</v>
      </c>
      <c r="AA57" s="27">
        <v>1.0126582278481013</v>
      </c>
      <c r="AB57" s="23">
        <f t="shared" si="12"/>
        <v>40</v>
      </c>
      <c r="AC57" s="23">
        <v>5</v>
      </c>
    </row>
    <row r="58" spans="1:29">
      <c r="A58" s="56">
        <v>3</v>
      </c>
      <c r="B58" s="1" t="s">
        <v>70</v>
      </c>
      <c r="C58" s="55">
        <v>38</v>
      </c>
      <c r="D58" s="43">
        <v>1</v>
      </c>
      <c r="E58" s="39"/>
      <c r="F58" s="54">
        <v>37</v>
      </c>
      <c r="G58" s="49">
        <v>1</v>
      </c>
      <c r="H58" s="39"/>
      <c r="I58" s="39">
        <v>4221.2089999999998</v>
      </c>
      <c r="J58" s="39">
        <f t="shared" si="6"/>
        <v>75</v>
      </c>
      <c r="K58" s="39"/>
      <c r="L58" s="39">
        <f t="shared" si="26"/>
        <v>420</v>
      </c>
      <c r="M58" s="39"/>
      <c r="N58" s="39">
        <v>15</v>
      </c>
      <c r="O58" s="39">
        <v>502</v>
      </c>
      <c r="P58" s="40">
        <v>43.896999999999998</v>
      </c>
      <c r="Q58" s="118">
        <v>35</v>
      </c>
      <c r="R58" s="39"/>
      <c r="S58" s="118">
        <v>0</v>
      </c>
      <c r="T58" s="39">
        <f t="shared" si="25"/>
        <v>5312.1059999999998</v>
      </c>
      <c r="U58" s="39">
        <f t="shared" si="9"/>
        <v>49.5</v>
      </c>
      <c r="V58" s="39">
        <v>46</v>
      </c>
      <c r="W58" s="39">
        <f t="shared" si="10"/>
        <v>5216.6059999999998</v>
      </c>
      <c r="X58" s="23">
        <v>12</v>
      </c>
      <c r="Y58" s="28">
        <v>35</v>
      </c>
      <c r="Z58" s="26">
        <f t="shared" si="27"/>
        <v>425.31645569620258</v>
      </c>
      <c r="AA58" s="27">
        <v>1.0126582278481013</v>
      </c>
      <c r="AB58" s="23">
        <f t="shared" si="12"/>
        <v>0</v>
      </c>
    </row>
    <row r="59" spans="1:29">
      <c r="A59" s="56">
        <v>4</v>
      </c>
      <c r="B59" s="1" t="s">
        <v>71</v>
      </c>
      <c r="C59" s="55">
        <v>49</v>
      </c>
      <c r="D59" s="43">
        <v>1</v>
      </c>
      <c r="E59" s="39"/>
      <c r="F59" s="54">
        <v>48</v>
      </c>
      <c r="G59" s="49">
        <v>1</v>
      </c>
      <c r="H59" s="39"/>
      <c r="I59" s="39">
        <v>5538.8059999999996</v>
      </c>
      <c r="J59" s="39">
        <f t="shared" si="6"/>
        <v>75</v>
      </c>
      <c r="K59" s="39"/>
      <c r="L59" s="39">
        <f t="shared" si="26"/>
        <v>576</v>
      </c>
      <c r="M59" s="39"/>
      <c r="N59" s="39">
        <v>15</v>
      </c>
      <c r="O59" s="39">
        <v>838</v>
      </c>
      <c r="P59" s="40">
        <v>30.821999999999999</v>
      </c>
      <c r="Q59" s="118">
        <v>36</v>
      </c>
      <c r="R59" s="39"/>
      <c r="S59" s="118">
        <v>12</v>
      </c>
      <c r="T59" s="39">
        <f t="shared" si="25"/>
        <v>7121.6279999999997</v>
      </c>
      <c r="U59" s="39">
        <f t="shared" si="9"/>
        <v>65.100000000000009</v>
      </c>
      <c r="V59" s="39">
        <v>70</v>
      </c>
      <c r="W59" s="39">
        <f t="shared" si="10"/>
        <v>6986.5279999999993</v>
      </c>
      <c r="X59" s="23">
        <v>18</v>
      </c>
      <c r="Y59" s="23">
        <v>32</v>
      </c>
      <c r="Z59" s="26">
        <f>X59*Y59*AA59</f>
        <v>583.29113924050637</v>
      </c>
      <c r="AA59" s="27">
        <v>1.0126582278481013</v>
      </c>
      <c r="AB59" s="23">
        <f t="shared" si="12"/>
        <v>0</v>
      </c>
    </row>
    <row r="60" spans="1:29">
      <c r="A60" s="56">
        <v>5</v>
      </c>
      <c r="B60" s="1" t="s">
        <v>72</v>
      </c>
      <c r="C60" s="55">
        <v>52</v>
      </c>
      <c r="D60" s="43">
        <v>1</v>
      </c>
      <c r="E60" s="39"/>
      <c r="F60" s="54">
        <v>52</v>
      </c>
      <c r="G60" s="49">
        <v>1</v>
      </c>
      <c r="H60" s="39"/>
      <c r="I60" s="39">
        <v>6053.5169999999998</v>
      </c>
      <c r="J60" s="39">
        <f t="shared" si="6"/>
        <v>75</v>
      </c>
      <c r="K60" s="39"/>
      <c r="L60" s="39">
        <f t="shared" si="26"/>
        <v>576</v>
      </c>
      <c r="M60" s="39"/>
      <c r="N60" s="39">
        <v>15</v>
      </c>
      <c r="O60" s="39">
        <v>926</v>
      </c>
      <c r="P60" s="40">
        <v>52</v>
      </c>
      <c r="Q60" s="118">
        <v>39</v>
      </c>
      <c r="R60" s="39"/>
      <c r="S60" s="118">
        <v>12</v>
      </c>
      <c r="T60" s="39">
        <f t="shared" si="25"/>
        <v>7748.5169999999998</v>
      </c>
      <c r="U60" s="39">
        <f t="shared" si="9"/>
        <v>65.100000000000009</v>
      </c>
      <c r="V60" s="39">
        <v>62</v>
      </c>
      <c r="W60" s="39">
        <f t="shared" si="10"/>
        <v>7621.4169999999995</v>
      </c>
      <c r="X60" s="23">
        <v>18</v>
      </c>
      <c r="Y60" s="23">
        <v>32</v>
      </c>
      <c r="Z60" s="26">
        <f t="shared" ref="Z60:Z70" si="28">X60*Y60*AA60</f>
        <v>583.29113924050637</v>
      </c>
      <c r="AA60" s="27">
        <v>1.0126582278481013</v>
      </c>
      <c r="AB60" s="23">
        <f t="shared" si="12"/>
        <v>0</v>
      </c>
    </row>
    <row r="61" spans="1:29" s="45" customFormat="1">
      <c r="A61" s="57">
        <v>6</v>
      </c>
      <c r="B61" s="1" t="s">
        <v>73</v>
      </c>
      <c r="C61" s="55">
        <v>57</v>
      </c>
      <c r="D61" s="43">
        <v>1</v>
      </c>
      <c r="E61" s="43"/>
      <c r="F61" s="54">
        <v>57</v>
      </c>
      <c r="G61" s="49">
        <v>1</v>
      </c>
      <c r="H61" s="43"/>
      <c r="I61" s="39">
        <v>6489.2209999999995</v>
      </c>
      <c r="J61" s="39">
        <f t="shared" si="6"/>
        <v>75</v>
      </c>
      <c r="K61" s="39"/>
      <c r="L61" s="39">
        <f t="shared" si="26"/>
        <v>660</v>
      </c>
      <c r="M61" s="39"/>
      <c r="N61" s="39">
        <v>15</v>
      </c>
      <c r="O61" s="39">
        <v>942</v>
      </c>
      <c r="P61" s="44">
        <v>59.713999999999999</v>
      </c>
      <c r="Q61" s="118">
        <v>35</v>
      </c>
      <c r="R61" s="43"/>
      <c r="S61" s="118">
        <v>22</v>
      </c>
      <c r="T61" s="39">
        <f t="shared" si="25"/>
        <v>8297.9349999999995</v>
      </c>
      <c r="U61" s="39">
        <f t="shared" si="9"/>
        <v>73.5</v>
      </c>
      <c r="V61" s="39">
        <v>136</v>
      </c>
      <c r="W61" s="39">
        <f t="shared" si="10"/>
        <v>8088.4349999999995</v>
      </c>
      <c r="X61" s="45">
        <v>22</v>
      </c>
      <c r="Y61" s="28">
        <v>30</v>
      </c>
      <c r="Z61" s="26">
        <f t="shared" si="28"/>
        <v>668.35443037974687</v>
      </c>
      <c r="AA61" s="27">
        <v>1.0126582278481013</v>
      </c>
      <c r="AB61" s="23">
        <f t="shared" si="12"/>
        <v>0</v>
      </c>
    </row>
    <row r="62" spans="1:29" ht="30">
      <c r="A62" s="56">
        <v>7</v>
      </c>
      <c r="B62" s="1" t="s">
        <v>92</v>
      </c>
      <c r="C62" s="55">
        <v>44</v>
      </c>
      <c r="D62" s="43">
        <v>2</v>
      </c>
      <c r="E62" s="39"/>
      <c r="F62" s="54">
        <f>19+25</f>
        <v>44</v>
      </c>
      <c r="G62" s="49">
        <v>2</v>
      </c>
      <c r="H62" s="39"/>
      <c r="I62" s="39">
        <v>4921.6509999999998</v>
      </c>
      <c r="J62" s="39">
        <f t="shared" si="6"/>
        <v>150</v>
      </c>
      <c r="K62" s="39"/>
      <c r="L62" s="39">
        <f>Y73*35+Z73*32</f>
        <v>542</v>
      </c>
      <c r="M62" s="39"/>
      <c r="N62" s="39">
        <v>15</v>
      </c>
      <c r="O62" s="39">
        <v>748</v>
      </c>
      <c r="P62" s="40">
        <v>40.956000000000003</v>
      </c>
      <c r="Q62" s="118">
        <v>17</v>
      </c>
      <c r="R62" s="39"/>
      <c r="S62" s="118">
        <v>12</v>
      </c>
      <c r="T62" s="39">
        <f t="shared" si="25"/>
        <v>6446.607</v>
      </c>
      <c r="U62" s="39">
        <f t="shared" si="9"/>
        <v>69.2</v>
      </c>
      <c r="V62" s="39">
        <v>17</v>
      </c>
      <c r="W62" s="39">
        <f t="shared" si="10"/>
        <v>6360.4070000000002</v>
      </c>
      <c r="X62" s="23">
        <v>16</v>
      </c>
      <c r="Y62" s="23">
        <v>32</v>
      </c>
      <c r="Z62" s="26">
        <f>X62*Y62*AA62</f>
        <v>518.48101265822788</v>
      </c>
      <c r="AA62" s="27">
        <v>1.0126582278481013</v>
      </c>
      <c r="AB62" s="23">
        <f>6*AC62</f>
        <v>30</v>
      </c>
      <c r="AC62" s="23">
        <v>5</v>
      </c>
    </row>
    <row r="63" spans="1:29">
      <c r="A63" s="56">
        <v>8</v>
      </c>
      <c r="B63" s="1" t="s">
        <v>74</v>
      </c>
      <c r="C63" s="55">
        <v>35</v>
      </c>
      <c r="D63" s="43">
        <v>1</v>
      </c>
      <c r="E63" s="39"/>
      <c r="F63" s="54">
        <v>35</v>
      </c>
      <c r="G63" s="49">
        <v>1</v>
      </c>
      <c r="H63" s="39"/>
      <c r="I63" s="39">
        <v>3985.1390000000001</v>
      </c>
      <c r="J63" s="39">
        <f t="shared" si="6"/>
        <v>75</v>
      </c>
      <c r="K63" s="39"/>
      <c r="L63" s="39">
        <f t="shared" si="26"/>
        <v>352</v>
      </c>
      <c r="M63" s="46"/>
      <c r="N63" s="39">
        <v>15</v>
      </c>
      <c r="O63" s="39">
        <v>561</v>
      </c>
      <c r="P63" s="40">
        <v>95.688999999999993</v>
      </c>
      <c r="Q63" s="118">
        <v>37</v>
      </c>
      <c r="R63" s="39"/>
      <c r="S63" s="118">
        <v>12</v>
      </c>
      <c r="T63" s="39">
        <f t="shared" si="25"/>
        <v>5132.8280000000004</v>
      </c>
      <c r="U63" s="39">
        <f t="shared" si="9"/>
        <v>42.7</v>
      </c>
      <c r="V63" s="39">
        <v>43</v>
      </c>
      <c r="W63" s="39">
        <f t="shared" si="10"/>
        <v>5047.1280000000006</v>
      </c>
      <c r="X63" s="23">
        <v>11</v>
      </c>
      <c r="Y63" s="23">
        <v>32</v>
      </c>
      <c r="Z63" s="26">
        <f t="shared" si="28"/>
        <v>356.45569620253167</v>
      </c>
      <c r="AA63" s="27">
        <v>1.0126582278481013</v>
      </c>
      <c r="AB63" s="23">
        <v>30</v>
      </c>
    </row>
    <row r="64" spans="1:29">
      <c r="A64" s="56">
        <v>9</v>
      </c>
      <c r="B64" s="1" t="s">
        <v>75</v>
      </c>
      <c r="C64" s="55">
        <v>39</v>
      </c>
      <c r="D64" s="43">
        <v>1</v>
      </c>
      <c r="E64" s="39"/>
      <c r="F64" s="54">
        <v>38</v>
      </c>
      <c r="G64" s="49">
        <v>1</v>
      </c>
      <c r="H64" s="39"/>
      <c r="I64" s="39">
        <v>4274.0510000000004</v>
      </c>
      <c r="J64" s="39">
        <f t="shared" si="6"/>
        <v>75</v>
      </c>
      <c r="K64" s="39"/>
      <c r="L64" s="39">
        <f t="shared" si="26"/>
        <v>352</v>
      </c>
      <c r="M64" s="39"/>
      <c r="N64" s="39">
        <v>15</v>
      </c>
      <c r="O64" s="39">
        <v>607</v>
      </c>
      <c r="P64" s="40">
        <v>30.309000000000001</v>
      </c>
      <c r="Q64" s="118">
        <v>45</v>
      </c>
      <c r="R64" s="39"/>
      <c r="S64" s="118">
        <v>12</v>
      </c>
      <c r="T64" s="39">
        <f t="shared" si="25"/>
        <v>5410.3600000000006</v>
      </c>
      <c r="U64" s="39">
        <f t="shared" si="9"/>
        <v>42.7</v>
      </c>
      <c r="V64" s="39">
        <v>42</v>
      </c>
      <c r="W64" s="39">
        <f t="shared" si="10"/>
        <v>5325.6600000000008</v>
      </c>
      <c r="X64" s="23">
        <v>11</v>
      </c>
      <c r="Y64" s="23">
        <v>32</v>
      </c>
      <c r="Z64" s="26">
        <f t="shared" si="28"/>
        <v>356.45569620253167</v>
      </c>
      <c r="AA64" s="27">
        <v>1.0126582278481013</v>
      </c>
      <c r="AB64" s="23">
        <f t="shared" si="12"/>
        <v>0</v>
      </c>
    </row>
    <row r="65" spans="1:29" ht="30">
      <c r="A65" s="56">
        <v>10</v>
      </c>
      <c r="B65" s="1" t="s">
        <v>76</v>
      </c>
      <c r="C65" s="55">
        <v>38</v>
      </c>
      <c r="D65" s="43">
        <v>1</v>
      </c>
      <c r="E65" s="39"/>
      <c r="F65" s="54">
        <v>37</v>
      </c>
      <c r="G65" s="49">
        <v>1</v>
      </c>
      <c r="H65" s="39"/>
      <c r="I65" s="39">
        <v>4105.5600000000004</v>
      </c>
      <c r="J65" s="39">
        <f t="shared" si="6"/>
        <v>75</v>
      </c>
      <c r="K65" s="39"/>
      <c r="L65" s="39">
        <f t="shared" si="26"/>
        <v>384</v>
      </c>
      <c r="M65" s="39"/>
      <c r="N65" s="39">
        <v>15</v>
      </c>
      <c r="O65" s="39">
        <v>595</v>
      </c>
      <c r="P65" s="40">
        <v>72.381</v>
      </c>
      <c r="Q65" s="118">
        <v>40</v>
      </c>
      <c r="R65" s="39"/>
      <c r="S65" s="118">
        <v>12</v>
      </c>
      <c r="T65" s="39">
        <f t="shared" si="25"/>
        <v>5298.9410000000007</v>
      </c>
      <c r="U65" s="39">
        <f t="shared" si="9"/>
        <v>45.900000000000006</v>
      </c>
      <c r="V65" s="39">
        <v>43</v>
      </c>
      <c r="W65" s="39">
        <f t="shared" si="10"/>
        <v>5210.0410000000011</v>
      </c>
      <c r="X65" s="23">
        <v>12</v>
      </c>
      <c r="Y65" s="23">
        <v>32</v>
      </c>
      <c r="Z65" s="26">
        <f t="shared" si="28"/>
        <v>388.86075949367091</v>
      </c>
      <c r="AA65" s="27">
        <v>1.0126582278481013</v>
      </c>
      <c r="AB65" s="23">
        <v>30</v>
      </c>
    </row>
    <row r="66" spans="1:29" ht="30">
      <c r="A66" s="56">
        <v>11</v>
      </c>
      <c r="B66" s="1" t="s">
        <v>109</v>
      </c>
      <c r="C66" s="55">
        <v>43</v>
      </c>
      <c r="D66" s="43">
        <v>2</v>
      </c>
      <c r="E66" s="39"/>
      <c r="F66" s="54">
        <v>44</v>
      </c>
      <c r="G66" s="49">
        <v>2</v>
      </c>
      <c r="H66" s="39"/>
      <c r="I66" s="39">
        <v>4759.027</v>
      </c>
      <c r="J66" s="39">
        <f t="shared" si="6"/>
        <v>150</v>
      </c>
      <c r="K66" s="39"/>
      <c r="L66" s="39">
        <f>6*35+8*32</f>
        <v>466</v>
      </c>
      <c r="M66" s="39"/>
      <c r="N66" s="39">
        <v>15</v>
      </c>
      <c r="O66" s="39">
        <v>640</v>
      </c>
      <c r="P66" s="40">
        <v>121.711</v>
      </c>
      <c r="Q66" s="118">
        <v>21</v>
      </c>
      <c r="R66" s="39"/>
      <c r="S66" s="118">
        <v>12</v>
      </c>
      <c r="T66" s="39">
        <f t="shared" si="25"/>
        <v>6184.7380000000003</v>
      </c>
      <c r="U66" s="39">
        <f t="shared" si="9"/>
        <v>61.6</v>
      </c>
      <c r="V66" s="39">
        <v>29</v>
      </c>
      <c r="W66" s="39">
        <f t="shared" si="10"/>
        <v>6094.1379999999999</v>
      </c>
      <c r="X66" s="23">
        <v>14</v>
      </c>
      <c r="Y66" s="23">
        <v>32</v>
      </c>
      <c r="Z66" s="26">
        <f t="shared" si="28"/>
        <v>453.6708860759494</v>
      </c>
      <c r="AA66" s="27">
        <v>1.0126582278481013</v>
      </c>
      <c r="AB66" s="23">
        <f>30+4</f>
        <v>34</v>
      </c>
      <c r="AC66" s="23">
        <v>5</v>
      </c>
    </row>
    <row r="67" spans="1:29">
      <c r="A67" s="56">
        <v>12</v>
      </c>
      <c r="B67" s="1" t="s">
        <v>77</v>
      </c>
      <c r="C67" s="55">
        <v>30</v>
      </c>
      <c r="D67" s="43">
        <v>1</v>
      </c>
      <c r="E67" s="39"/>
      <c r="F67" s="54">
        <v>28</v>
      </c>
      <c r="G67" s="49">
        <v>1</v>
      </c>
      <c r="H67" s="39"/>
      <c r="I67" s="39">
        <v>3133.0149999999999</v>
      </c>
      <c r="J67" s="39">
        <f t="shared" si="6"/>
        <v>75</v>
      </c>
      <c r="K67" s="39"/>
      <c r="L67" s="39">
        <f t="shared" si="26"/>
        <v>288</v>
      </c>
      <c r="M67" s="39"/>
      <c r="N67" s="39">
        <v>15</v>
      </c>
      <c r="O67" s="39">
        <v>478</v>
      </c>
      <c r="P67" s="40">
        <v>60.3</v>
      </c>
      <c r="Q67" s="118">
        <v>14</v>
      </c>
      <c r="R67" s="39"/>
      <c r="S67" s="118">
        <v>12</v>
      </c>
      <c r="T67" s="39">
        <f t="shared" si="25"/>
        <v>4075.3150000000001</v>
      </c>
      <c r="U67" s="39">
        <f t="shared" si="9"/>
        <v>36.300000000000004</v>
      </c>
      <c r="V67" s="39">
        <v>34</v>
      </c>
      <c r="W67" s="39">
        <f t="shared" si="10"/>
        <v>4005.0149999999999</v>
      </c>
      <c r="X67" s="23">
        <v>9</v>
      </c>
      <c r="Y67" s="23">
        <v>32</v>
      </c>
      <c r="Z67" s="26">
        <f t="shared" si="28"/>
        <v>291.64556962025318</v>
      </c>
      <c r="AA67" s="27">
        <v>1.0126582278481013</v>
      </c>
      <c r="AB67" s="23">
        <f t="shared" si="12"/>
        <v>0</v>
      </c>
    </row>
    <row r="68" spans="1:29">
      <c r="A68" s="56">
        <v>13</v>
      </c>
      <c r="B68" s="1" t="s">
        <v>110</v>
      </c>
      <c r="C68" s="55">
        <v>52</v>
      </c>
      <c r="D68" s="43">
        <v>2</v>
      </c>
      <c r="E68" s="39"/>
      <c r="F68" s="54">
        <v>50</v>
      </c>
      <c r="G68" s="49">
        <v>2</v>
      </c>
      <c r="H68" s="39"/>
      <c r="I68" s="39">
        <v>6051.942</v>
      </c>
      <c r="J68" s="39">
        <f t="shared" si="6"/>
        <v>150</v>
      </c>
      <c r="K68" s="39"/>
      <c r="L68" s="39">
        <f>11*35+8*32</f>
        <v>641</v>
      </c>
      <c r="M68" s="39"/>
      <c r="N68" s="39"/>
      <c r="O68" s="39">
        <v>1177</v>
      </c>
      <c r="P68" s="40">
        <v>173.376</v>
      </c>
      <c r="Q68" s="118">
        <v>33</v>
      </c>
      <c r="R68" s="39"/>
      <c r="S68" s="118">
        <v>35</v>
      </c>
      <c r="T68" s="39">
        <f t="shared" si="25"/>
        <v>8261.3179999999993</v>
      </c>
      <c r="U68" s="39">
        <f t="shared" si="9"/>
        <v>79.100000000000009</v>
      </c>
      <c r="V68" s="39">
        <v>24</v>
      </c>
      <c r="W68" s="39">
        <f t="shared" si="10"/>
        <v>8158.2179999999989</v>
      </c>
      <c r="X68" s="23">
        <v>19</v>
      </c>
      <c r="Y68" s="23">
        <v>32</v>
      </c>
      <c r="Z68" s="26">
        <f t="shared" si="28"/>
        <v>615.69620253164567</v>
      </c>
      <c r="AA68" s="27">
        <v>1.0126582278481013</v>
      </c>
      <c r="AB68" s="23">
        <f>8*AC68</f>
        <v>40</v>
      </c>
      <c r="AC68" s="23">
        <v>5</v>
      </c>
    </row>
    <row r="69" spans="1:29">
      <c r="A69" s="56">
        <v>14</v>
      </c>
      <c r="B69" s="1" t="s">
        <v>78</v>
      </c>
      <c r="C69" s="55">
        <v>30</v>
      </c>
      <c r="D69" s="43">
        <v>1</v>
      </c>
      <c r="E69" s="39"/>
      <c r="F69" s="54">
        <v>28</v>
      </c>
      <c r="G69" s="49">
        <v>1</v>
      </c>
      <c r="H69" s="39"/>
      <c r="I69" s="39">
        <v>3508.5210000000002</v>
      </c>
      <c r="J69" s="39">
        <f t="shared" si="6"/>
        <v>75</v>
      </c>
      <c r="K69" s="39"/>
      <c r="L69" s="39">
        <f t="shared" si="26"/>
        <v>256</v>
      </c>
      <c r="M69" s="39"/>
      <c r="N69" s="39">
        <v>15</v>
      </c>
      <c r="O69" s="39">
        <v>611</v>
      </c>
      <c r="P69" s="40">
        <v>36.938000000000002</v>
      </c>
      <c r="Q69" s="118">
        <v>9</v>
      </c>
      <c r="R69" s="39"/>
      <c r="S69" s="118">
        <v>12</v>
      </c>
      <c r="T69" s="39">
        <f t="shared" si="25"/>
        <v>4523.4590000000007</v>
      </c>
      <c r="U69" s="39">
        <f t="shared" si="9"/>
        <v>33.1</v>
      </c>
      <c r="V69" s="39">
        <v>30</v>
      </c>
      <c r="W69" s="39">
        <f t="shared" si="10"/>
        <v>4460.3590000000004</v>
      </c>
      <c r="X69" s="23">
        <v>8</v>
      </c>
      <c r="Y69" s="23">
        <v>32</v>
      </c>
      <c r="Z69" s="26">
        <f t="shared" si="28"/>
        <v>259.24050632911394</v>
      </c>
      <c r="AA69" s="27">
        <v>1.0126582278481013</v>
      </c>
      <c r="AB69" s="23">
        <f t="shared" si="12"/>
        <v>40</v>
      </c>
      <c r="AC69" s="23">
        <v>5</v>
      </c>
    </row>
    <row r="70" spans="1:29">
      <c r="A70" s="56">
        <v>15</v>
      </c>
      <c r="B70" s="1" t="s">
        <v>79</v>
      </c>
      <c r="C70" s="55">
        <v>26</v>
      </c>
      <c r="D70" s="43">
        <v>1</v>
      </c>
      <c r="E70" s="39"/>
      <c r="F70" s="54">
        <v>26</v>
      </c>
      <c r="G70" s="49">
        <v>1</v>
      </c>
      <c r="H70" s="39"/>
      <c r="I70" s="39">
        <v>3090.1559999999999</v>
      </c>
      <c r="J70" s="39">
        <f t="shared" si="6"/>
        <v>75</v>
      </c>
      <c r="K70" s="39"/>
      <c r="L70" s="39">
        <f t="shared" si="26"/>
        <v>256</v>
      </c>
      <c r="M70" s="39"/>
      <c r="N70" s="39">
        <v>15</v>
      </c>
      <c r="O70" s="39">
        <v>500</v>
      </c>
      <c r="P70" s="40">
        <v>33.213999999999999</v>
      </c>
      <c r="Q70" s="118">
        <v>34</v>
      </c>
      <c r="R70" s="39"/>
      <c r="S70" s="118">
        <v>0</v>
      </c>
      <c r="T70" s="39">
        <f t="shared" si="25"/>
        <v>4003.37</v>
      </c>
      <c r="U70" s="39">
        <f t="shared" si="9"/>
        <v>33.1</v>
      </c>
      <c r="V70" s="39">
        <v>87</v>
      </c>
      <c r="W70" s="39">
        <f t="shared" si="10"/>
        <v>3883.27</v>
      </c>
      <c r="X70" s="23">
        <v>8</v>
      </c>
      <c r="Y70" s="23">
        <v>32</v>
      </c>
      <c r="Z70" s="26">
        <f t="shared" si="28"/>
        <v>259.24050632911394</v>
      </c>
      <c r="AA70" s="27">
        <v>1.0126582278481013</v>
      </c>
      <c r="AB70" s="23">
        <v>30</v>
      </c>
      <c r="AC70" s="23">
        <v>7</v>
      </c>
    </row>
    <row r="72" spans="1:29">
      <c r="Y72" s="23" t="s">
        <v>169</v>
      </c>
      <c r="Z72" s="23" t="s">
        <v>170</v>
      </c>
    </row>
    <row r="73" spans="1:29">
      <c r="Y73" s="23">
        <v>10</v>
      </c>
      <c r="Z73" s="23">
        <v>6</v>
      </c>
    </row>
    <row r="74" spans="1:29">
      <c r="Y74" s="23">
        <v>6</v>
      </c>
      <c r="Z74" s="23">
        <v>8</v>
      </c>
    </row>
    <row r="75" spans="1:29">
      <c r="Y75" s="23">
        <v>11</v>
      </c>
      <c r="Z75" s="23">
        <v>8</v>
      </c>
    </row>
  </sheetData>
  <mergeCells count="21">
    <mergeCell ref="X5:X6"/>
    <mergeCell ref="Y5:Y6"/>
    <mergeCell ref="Z5:Z6"/>
    <mergeCell ref="T5:T6"/>
    <mergeCell ref="U5:V5"/>
    <mergeCell ref="W5:W6"/>
    <mergeCell ref="A1:W1"/>
    <mergeCell ref="A2:W2"/>
    <mergeCell ref="V4:W4"/>
    <mergeCell ref="C5:E5"/>
    <mergeCell ref="A5:A6"/>
    <mergeCell ref="B5:B6"/>
    <mergeCell ref="F5:H5"/>
    <mergeCell ref="I5:I6"/>
    <mergeCell ref="L5:L6"/>
    <mergeCell ref="O5:S5"/>
    <mergeCell ref="M5:M6"/>
    <mergeCell ref="K5:K6"/>
    <mergeCell ref="N5:N6"/>
    <mergeCell ref="A3:V3"/>
    <mergeCell ref="J5:J6"/>
  </mergeCells>
  <phoneticPr fontId="16" type="noConversion"/>
  <printOptions horizontalCentered="1"/>
  <pageMargins left="0" right="0" top="0.39370078740157483" bottom="0.39370078740157483" header="0.31496062992125984" footer="0.31496062992125984"/>
  <pageSetup scale="75" orientation="landscape" r:id="rId1"/>
  <headerFooter>
    <oddFooter>Page 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56"/>
  <sheetViews>
    <sheetView tabSelected="1" topLeftCell="E17" workbookViewId="0">
      <selection activeCell="AA57" sqref="A57:AA58"/>
    </sheetView>
  </sheetViews>
  <sheetFormatPr defaultColWidth="8.875" defaultRowHeight="12.75"/>
  <cols>
    <col min="1" max="1" width="3.875" style="78" customWidth="1"/>
    <col min="2" max="2" width="13.625" style="60" customWidth="1"/>
    <col min="3" max="3" width="4.875" style="60" customWidth="1"/>
    <col min="4" max="4" width="6.5" style="78" customWidth="1"/>
    <col min="5" max="5" width="4.875" style="78" customWidth="1"/>
    <col min="6" max="6" width="8.875" style="78"/>
    <col min="7" max="7" width="3.375" style="78" customWidth="1"/>
    <col min="8" max="8" width="10.25" style="60" customWidth="1"/>
    <col min="9" max="9" width="11.875" style="79" customWidth="1"/>
    <col min="10" max="10" width="11.375" style="60" customWidth="1"/>
    <col min="11" max="11" width="4.875" style="60" customWidth="1"/>
    <col min="12" max="12" width="4.125" style="78" customWidth="1"/>
    <col min="13" max="13" width="5.875" style="78" customWidth="1"/>
    <col min="14" max="14" width="6.25" style="78" customWidth="1"/>
    <col min="15" max="15" width="4.25" style="78" customWidth="1"/>
    <col min="16" max="16" width="9.875" style="60" customWidth="1"/>
    <col min="17" max="17" width="11.125" style="79" customWidth="1"/>
    <col min="18" max="18" width="9.125" style="60" customWidth="1"/>
    <col min="19" max="19" width="9.75" style="60" customWidth="1"/>
    <col min="20" max="20" width="11.125" style="64" customWidth="1"/>
    <col min="21" max="22" width="11.125" style="60" customWidth="1"/>
    <col min="23" max="23" width="8.875" style="60" customWidth="1"/>
    <col min="24" max="16384" width="8.875" style="60"/>
  </cols>
  <sheetData>
    <row r="1" spans="1:24" ht="15.75">
      <c r="A1" s="147" t="s">
        <v>173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</row>
    <row r="2" spans="1:24">
      <c r="A2" s="61"/>
      <c r="B2" s="62"/>
      <c r="C2" s="63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W2" s="65" t="s">
        <v>174</v>
      </c>
    </row>
    <row r="3" spans="1:24" s="66" customFormat="1">
      <c r="A3" s="148" t="s">
        <v>175</v>
      </c>
      <c r="B3" s="148" t="s">
        <v>176</v>
      </c>
      <c r="C3" s="150" t="s">
        <v>177</v>
      </c>
      <c r="D3" s="150"/>
      <c r="E3" s="150"/>
      <c r="F3" s="150"/>
      <c r="G3" s="150"/>
      <c r="H3" s="150"/>
      <c r="I3" s="150"/>
      <c r="J3" s="150"/>
      <c r="K3" s="150" t="s">
        <v>178</v>
      </c>
      <c r="L3" s="150"/>
      <c r="M3" s="150"/>
      <c r="N3" s="150"/>
      <c r="O3" s="150"/>
      <c r="P3" s="150"/>
      <c r="Q3" s="150"/>
      <c r="R3" s="150"/>
      <c r="S3" s="151" t="s">
        <v>179</v>
      </c>
      <c r="T3" s="152"/>
      <c r="U3" s="153"/>
      <c r="V3" s="154" t="s">
        <v>180</v>
      </c>
      <c r="W3" s="148" t="s">
        <v>181</v>
      </c>
    </row>
    <row r="4" spans="1:24" ht="156">
      <c r="A4" s="149"/>
      <c r="B4" s="149"/>
      <c r="C4" s="67" t="s">
        <v>182</v>
      </c>
      <c r="D4" s="67" t="s">
        <v>183</v>
      </c>
      <c r="E4" s="67" t="s">
        <v>184</v>
      </c>
      <c r="F4" s="16" t="s">
        <v>185</v>
      </c>
      <c r="G4" s="67" t="s">
        <v>186</v>
      </c>
      <c r="H4" s="67" t="s">
        <v>187</v>
      </c>
      <c r="I4" s="86" t="s">
        <v>188</v>
      </c>
      <c r="J4" s="67" t="s">
        <v>189</v>
      </c>
      <c r="K4" s="67" t="s">
        <v>182</v>
      </c>
      <c r="L4" s="67" t="s">
        <v>183</v>
      </c>
      <c r="M4" s="67" t="s">
        <v>184</v>
      </c>
      <c r="N4" s="16" t="s">
        <v>185</v>
      </c>
      <c r="O4" s="67" t="s">
        <v>190</v>
      </c>
      <c r="P4" s="67" t="s">
        <v>191</v>
      </c>
      <c r="Q4" s="86" t="s">
        <v>188</v>
      </c>
      <c r="R4" s="67" t="s">
        <v>192</v>
      </c>
      <c r="S4" s="16" t="s">
        <v>193</v>
      </c>
      <c r="T4" s="87" t="s">
        <v>194</v>
      </c>
      <c r="U4" s="88" t="s">
        <v>195</v>
      </c>
      <c r="V4" s="155"/>
      <c r="W4" s="149"/>
    </row>
    <row r="5" spans="1:24" s="74" customFormat="1" ht="12">
      <c r="A5" s="18"/>
      <c r="B5" s="3" t="s">
        <v>108</v>
      </c>
      <c r="C5" s="69">
        <f>C6+C32</f>
        <v>11473</v>
      </c>
      <c r="D5" s="70">
        <f>D6+D32</f>
        <v>671</v>
      </c>
      <c r="E5" s="70">
        <f>E6+E32</f>
        <v>406</v>
      </c>
      <c r="F5" s="71"/>
      <c r="G5" s="71"/>
      <c r="H5" s="71">
        <f t="shared" ref="H5:M5" si="0">H6+H32</f>
        <v>195212500</v>
      </c>
      <c r="I5" s="71">
        <f t="shared" si="0"/>
        <v>2312462500</v>
      </c>
      <c r="J5" s="71">
        <f t="shared" si="0"/>
        <v>2507675000</v>
      </c>
      <c r="K5" s="71">
        <f t="shared" si="0"/>
        <v>11496</v>
      </c>
      <c r="L5" s="71">
        <f t="shared" si="0"/>
        <v>698</v>
      </c>
      <c r="M5" s="72">
        <f t="shared" si="0"/>
        <v>397</v>
      </c>
      <c r="N5" s="71"/>
      <c r="O5" s="71"/>
      <c r="P5" s="71">
        <f t="shared" ref="P5:V5" si="1">P6+P32</f>
        <v>161140000</v>
      </c>
      <c r="Q5" s="71">
        <f t="shared" si="1"/>
        <v>1851744000</v>
      </c>
      <c r="R5" s="71">
        <f t="shared" si="1"/>
        <v>2012884000</v>
      </c>
      <c r="S5" s="71">
        <f t="shared" si="1"/>
        <v>356352500</v>
      </c>
      <c r="T5" s="73">
        <f t="shared" si="1"/>
        <v>4164206500</v>
      </c>
      <c r="U5" s="71">
        <f t="shared" si="1"/>
        <v>4520559000</v>
      </c>
      <c r="V5" s="71">
        <f t="shared" si="1"/>
        <v>1809000000</v>
      </c>
      <c r="W5" s="71">
        <f>W6+W32</f>
        <v>2711559000</v>
      </c>
    </row>
    <row r="6" spans="1:24" s="74" customFormat="1" ht="12">
      <c r="A6" s="18"/>
      <c r="B6" s="3" t="s">
        <v>201</v>
      </c>
      <c r="C6" s="69">
        <f>SUM(C7:C31)</f>
        <v>5429</v>
      </c>
      <c r="D6" s="70">
        <f>SUM(D7:D31)</f>
        <v>456</v>
      </c>
      <c r="E6" s="70">
        <f>SUM(E7:E31)</f>
        <v>155</v>
      </c>
      <c r="F6" s="71"/>
      <c r="G6" s="71"/>
      <c r="H6" s="71">
        <f>SUM(H7:H31)</f>
        <v>138842500</v>
      </c>
      <c r="I6" s="71">
        <f>SUM(I7:I31)</f>
        <v>1333752500</v>
      </c>
      <c r="J6" s="71">
        <f>SUM(J7:J31)</f>
        <v>1472595000</v>
      </c>
      <c r="K6" s="71">
        <f>SUM(K7:K31)</f>
        <v>5479</v>
      </c>
      <c r="L6" s="71">
        <f t="shared" ref="L6:W6" si="2">SUM(L7:L31)</f>
        <v>484</v>
      </c>
      <c r="M6" s="72">
        <f t="shared" si="2"/>
        <v>154</v>
      </c>
      <c r="N6" s="71"/>
      <c r="O6" s="71"/>
      <c r="P6" s="71">
        <f t="shared" si="2"/>
        <v>116684000</v>
      </c>
      <c r="Q6" s="71">
        <f t="shared" si="2"/>
        <v>1071592000</v>
      </c>
      <c r="R6" s="71">
        <f t="shared" si="2"/>
        <v>1188276000</v>
      </c>
      <c r="S6" s="71">
        <f>SUM(S7:S31)</f>
        <v>255526500</v>
      </c>
      <c r="T6" s="73">
        <f t="shared" si="2"/>
        <v>2405344500</v>
      </c>
      <c r="U6" s="71">
        <f t="shared" si="2"/>
        <v>2660871000</v>
      </c>
      <c r="V6" s="71">
        <f t="shared" si="2"/>
        <v>1066000000</v>
      </c>
      <c r="W6" s="71">
        <f t="shared" si="2"/>
        <v>1594871000</v>
      </c>
    </row>
    <row r="7" spans="1:24" s="76" customFormat="1">
      <c r="A7" s="89" t="s">
        <v>120</v>
      </c>
      <c r="B7" s="90" t="s">
        <v>160</v>
      </c>
      <c r="C7" s="91">
        <v>204</v>
      </c>
      <c r="D7" s="92">
        <v>9</v>
      </c>
      <c r="E7" s="92">
        <v>2</v>
      </c>
      <c r="F7" s="93">
        <v>51000</v>
      </c>
      <c r="G7" s="93">
        <v>5</v>
      </c>
      <c r="H7" s="93">
        <f>(D7*F7*G7)+((E7*(F7/2))*G7)</f>
        <v>2550000</v>
      </c>
      <c r="I7" s="94">
        <f>((C7-D7-E7)*F7*G7)+(E7*(F7/2))*5</f>
        <v>49470000</v>
      </c>
      <c r="J7" s="93">
        <f>H7+I7</f>
        <v>52020000</v>
      </c>
      <c r="K7" s="91">
        <v>203</v>
      </c>
      <c r="L7" s="92">
        <v>10</v>
      </c>
      <c r="M7" s="92">
        <v>2</v>
      </c>
      <c r="N7" s="93">
        <v>51000</v>
      </c>
      <c r="O7" s="93">
        <v>4</v>
      </c>
      <c r="P7" s="93">
        <f>(L7*N7*O7)+((M7*(N7/2))*O7)</f>
        <v>2244000</v>
      </c>
      <c r="Q7" s="94">
        <f>((K7-L7-M7)*N7*O7)+(M7*(N7/2))*4</f>
        <v>39168000</v>
      </c>
      <c r="R7" s="93">
        <f>P7+Q7</f>
        <v>41412000</v>
      </c>
      <c r="S7" s="93">
        <f>H7+P7</f>
        <v>4794000</v>
      </c>
      <c r="T7" s="95">
        <f>I7+Q7</f>
        <v>88638000</v>
      </c>
      <c r="U7" s="93">
        <f>J7+R7</f>
        <v>93432000</v>
      </c>
      <c r="V7" s="94">
        <f>ROUND((U7*0.4),-6)</f>
        <v>37000000</v>
      </c>
      <c r="W7" s="96">
        <f t="shared" ref="W7:W31" si="3">+U7-V7</f>
        <v>56432000</v>
      </c>
      <c r="X7" s="75">
        <f>+V7/1000000</f>
        <v>37</v>
      </c>
    </row>
    <row r="8" spans="1:24" s="76" customFormat="1">
      <c r="A8" s="89" t="s">
        <v>121</v>
      </c>
      <c r="B8" s="90" t="s">
        <v>161</v>
      </c>
      <c r="C8" s="91">
        <v>140</v>
      </c>
      <c r="D8" s="92">
        <v>5</v>
      </c>
      <c r="E8" s="92">
        <v>8</v>
      </c>
      <c r="F8" s="93">
        <v>51000</v>
      </c>
      <c r="G8" s="93">
        <v>5</v>
      </c>
      <c r="H8" s="93">
        <f t="shared" ref="H8:H31" si="4">(D8*F8*G8)+((E8*(F8/2))*G8)</f>
        <v>2295000</v>
      </c>
      <c r="I8" s="94">
        <f t="shared" ref="I8:I46" si="5">((C8-D8-E8)*F8*G8)+(E8*(F8/2))*5</f>
        <v>33405000</v>
      </c>
      <c r="J8" s="93">
        <f t="shared" ref="J8:J31" si="6">H8+I8</f>
        <v>35700000</v>
      </c>
      <c r="K8" s="91">
        <v>150</v>
      </c>
      <c r="L8" s="92">
        <v>5</v>
      </c>
      <c r="M8" s="92">
        <v>9</v>
      </c>
      <c r="N8" s="93">
        <v>51000</v>
      </c>
      <c r="O8" s="93">
        <v>4</v>
      </c>
      <c r="P8" s="93">
        <f t="shared" ref="P8:P31" si="7">(L8*N8*O8)+((M8*(N8/2))*O8)</f>
        <v>1938000</v>
      </c>
      <c r="Q8" s="94">
        <f t="shared" ref="Q8:Q31" si="8">((K8-L8-M8)*N8*O8)+(M8*(N8/2))*4</f>
        <v>28662000</v>
      </c>
      <c r="R8" s="93">
        <f t="shared" ref="R8:R47" si="9">P8+Q8</f>
        <v>30600000</v>
      </c>
      <c r="S8" s="93">
        <f t="shared" ref="S8:U31" si="10">H8+P8</f>
        <v>4233000</v>
      </c>
      <c r="T8" s="95">
        <f t="shared" si="10"/>
        <v>62067000</v>
      </c>
      <c r="U8" s="93">
        <f t="shared" si="10"/>
        <v>66300000</v>
      </c>
      <c r="V8" s="94">
        <f t="shared" ref="V8:V40" si="11">ROUND((U8*0.4),-6)</f>
        <v>27000000</v>
      </c>
      <c r="W8" s="96">
        <f t="shared" si="3"/>
        <v>39300000</v>
      </c>
      <c r="X8" s="75">
        <f t="shared" ref="X8:X47" si="12">+V8/1000000</f>
        <v>27</v>
      </c>
    </row>
    <row r="9" spans="1:24" s="76" customFormat="1">
      <c r="A9" s="89" t="s">
        <v>122</v>
      </c>
      <c r="B9" s="90" t="s">
        <v>29</v>
      </c>
      <c r="C9" s="96">
        <v>240</v>
      </c>
      <c r="D9" s="92">
        <v>12</v>
      </c>
      <c r="E9" s="92">
        <v>8</v>
      </c>
      <c r="F9" s="93">
        <v>51000</v>
      </c>
      <c r="G9" s="93">
        <v>5</v>
      </c>
      <c r="H9" s="93">
        <f>(D9*F9*G9)+((E9*(F9/2))*G9)</f>
        <v>4080000</v>
      </c>
      <c r="I9" s="94">
        <f>((C9-D9-E9)*F9*G9)+(E9*(F9/2))*5</f>
        <v>57120000</v>
      </c>
      <c r="J9" s="93">
        <f>H9+I9</f>
        <v>61200000</v>
      </c>
      <c r="K9" s="96">
        <v>240</v>
      </c>
      <c r="L9" s="92">
        <v>12</v>
      </c>
      <c r="M9" s="92">
        <v>8</v>
      </c>
      <c r="N9" s="93">
        <v>51000</v>
      </c>
      <c r="O9" s="93">
        <v>4</v>
      </c>
      <c r="P9" s="93">
        <f>(L9*N9*O9)+((M9*(N9/2))*O9)</f>
        <v>3264000</v>
      </c>
      <c r="Q9" s="94">
        <f>((K9-L9-M9)*N9*O9)+(M9*(N9/2))*4</f>
        <v>45696000</v>
      </c>
      <c r="R9" s="93">
        <f>P9+Q9</f>
        <v>48960000</v>
      </c>
      <c r="S9" s="93">
        <f>H9+P9</f>
        <v>7344000</v>
      </c>
      <c r="T9" s="95">
        <f>I9+Q9</f>
        <v>102816000</v>
      </c>
      <c r="U9" s="93">
        <f>J9+R9</f>
        <v>110160000</v>
      </c>
      <c r="V9" s="94">
        <f t="shared" si="11"/>
        <v>44000000</v>
      </c>
      <c r="W9" s="96">
        <f t="shared" si="3"/>
        <v>66160000</v>
      </c>
      <c r="X9" s="75">
        <f t="shared" si="12"/>
        <v>44</v>
      </c>
    </row>
    <row r="10" spans="1:24" s="76" customFormat="1">
      <c r="A10" s="89" t="s">
        <v>103</v>
      </c>
      <c r="B10" s="90" t="s">
        <v>30</v>
      </c>
      <c r="C10" s="96">
        <v>123</v>
      </c>
      <c r="D10" s="92">
        <v>4</v>
      </c>
      <c r="E10" s="92">
        <v>5</v>
      </c>
      <c r="F10" s="93">
        <v>51000</v>
      </c>
      <c r="G10" s="93">
        <v>5</v>
      </c>
      <c r="H10" s="93">
        <f t="shared" si="4"/>
        <v>1657500</v>
      </c>
      <c r="I10" s="94">
        <f t="shared" si="5"/>
        <v>29707500</v>
      </c>
      <c r="J10" s="93">
        <f t="shared" si="6"/>
        <v>31365000</v>
      </c>
      <c r="K10" s="96">
        <v>125</v>
      </c>
      <c r="L10" s="92">
        <v>4</v>
      </c>
      <c r="M10" s="92">
        <v>5</v>
      </c>
      <c r="N10" s="93">
        <v>51000</v>
      </c>
      <c r="O10" s="93">
        <v>4</v>
      </c>
      <c r="P10" s="93">
        <f t="shared" si="7"/>
        <v>1326000</v>
      </c>
      <c r="Q10" s="94">
        <f t="shared" si="8"/>
        <v>24174000</v>
      </c>
      <c r="R10" s="93">
        <f t="shared" si="9"/>
        <v>25500000</v>
      </c>
      <c r="S10" s="93">
        <f t="shared" si="10"/>
        <v>2983500</v>
      </c>
      <c r="T10" s="95">
        <f t="shared" si="10"/>
        <v>53881500</v>
      </c>
      <c r="U10" s="93">
        <f t="shared" si="10"/>
        <v>56865000</v>
      </c>
      <c r="V10" s="94">
        <f t="shared" si="11"/>
        <v>23000000</v>
      </c>
      <c r="W10" s="96">
        <f t="shared" si="3"/>
        <v>33865000</v>
      </c>
      <c r="X10" s="75">
        <f t="shared" si="12"/>
        <v>23</v>
      </c>
    </row>
    <row r="11" spans="1:24" s="76" customFormat="1">
      <c r="A11" s="89" t="s">
        <v>104</v>
      </c>
      <c r="B11" s="90" t="s">
        <v>162</v>
      </c>
      <c r="C11" s="90">
        <v>185</v>
      </c>
      <c r="D11" s="92">
        <v>4</v>
      </c>
      <c r="E11" s="92">
        <v>3</v>
      </c>
      <c r="F11" s="93">
        <v>51000</v>
      </c>
      <c r="G11" s="93">
        <v>5</v>
      </c>
      <c r="H11" s="93">
        <f t="shared" si="4"/>
        <v>1402500</v>
      </c>
      <c r="I11" s="94">
        <f t="shared" si="5"/>
        <v>45772500</v>
      </c>
      <c r="J11" s="93">
        <f t="shared" si="6"/>
        <v>47175000</v>
      </c>
      <c r="K11" s="90">
        <v>195</v>
      </c>
      <c r="L11" s="92">
        <v>4</v>
      </c>
      <c r="M11" s="92">
        <v>2</v>
      </c>
      <c r="N11" s="93">
        <v>51000</v>
      </c>
      <c r="O11" s="93">
        <v>4</v>
      </c>
      <c r="P11" s="93">
        <f t="shared" si="7"/>
        <v>1020000</v>
      </c>
      <c r="Q11" s="94">
        <f t="shared" si="8"/>
        <v>38760000</v>
      </c>
      <c r="R11" s="93">
        <f t="shared" si="9"/>
        <v>39780000</v>
      </c>
      <c r="S11" s="93">
        <f t="shared" si="10"/>
        <v>2422500</v>
      </c>
      <c r="T11" s="95">
        <f t="shared" si="10"/>
        <v>84532500</v>
      </c>
      <c r="U11" s="93">
        <f t="shared" si="10"/>
        <v>86955000</v>
      </c>
      <c r="V11" s="94">
        <f t="shared" si="11"/>
        <v>35000000</v>
      </c>
      <c r="W11" s="96">
        <f t="shared" si="3"/>
        <v>51955000</v>
      </c>
      <c r="X11" s="75">
        <f t="shared" si="12"/>
        <v>35</v>
      </c>
    </row>
    <row r="12" spans="1:24" s="76" customFormat="1">
      <c r="A12" s="89" t="s">
        <v>123</v>
      </c>
      <c r="B12" s="90" t="s">
        <v>163</v>
      </c>
      <c r="C12" s="90">
        <v>227</v>
      </c>
      <c r="D12" s="92">
        <v>10</v>
      </c>
      <c r="E12" s="92">
        <v>15</v>
      </c>
      <c r="F12" s="93">
        <v>51000</v>
      </c>
      <c r="G12" s="93">
        <v>5</v>
      </c>
      <c r="H12" s="93">
        <f>(D12*F12*G12)+((E12*(F12/2))*G12)</f>
        <v>4462500</v>
      </c>
      <c r="I12" s="94">
        <f>((C12-D12-E12)*F12*G12)+(E12*(F12/2))*5</f>
        <v>53422500</v>
      </c>
      <c r="J12" s="93">
        <f>H12+I12</f>
        <v>57885000</v>
      </c>
      <c r="K12" s="90">
        <v>227</v>
      </c>
      <c r="L12" s="92">
        <v>10</v>
      </c>
      <c r="M12" s="92">
        <v>15</v>
      </c>
      <c r="N12" s="93">
        <v>51000</v>
      </c>
      <c r="O12" s="93">
        <v>4</v>
      </c>
      <c r="P12" s="93">
        <f>(L12*N12*O12)+((M12*(N12/2))*O12)</f>
        <v>3570000</v>
      </c>
      <c r="Q12" s="94">
        <f>((K12-L12-M12)*N12*O12)+(M12*(N12/2))*4</f>
        <v>42738000</v>
      </c>
      <c r="R12" s="93">
        <f>P12+Q12</f>
        <v>46308000</v>
      </c>
      <c r="S12" s="93">
        <f t="shared" si="10"/>
        <v>8032500</v>
      </c>
      <c r="T12" s="95">
        <f t="shared" si="10"/>
        <v>96160500</v>
      </c>
      <c r="U12" s="93">
        <f t="shared" si="10"/>
        <v>104193000</v>
      </c>
      <c r="V12" s="94">
        <f t="shared" si="11"/>
        <v>42000000</v>
      </c>
      <c r="W12" s="96">
        <f t="shared" si="3"/>
        <v>62193000</v>
      </c>
      <c r="X12" s="75">
        <f t="shared" si="12"/>
        <v>42</v>
      </c>
    </row>
    <row r="13" spans="1:24" s="76" customFormat="1">
      <c r="A13" s="89" t="s">
        <v>124</v>
      </c>
      <c r="B13" s="90" t="s">
        <v>33</v>
      </c>
      <c r="C13" s="90">
        <v>360</v>
      </c>
      <c r="D13" s="92">
        <v>5</v>
      </c>
      <c r="E13" s="92">
        <v>8</v>
      </c>
      <c r="F13" s="93">
        <v>51000</v>
      </c>
      <c r="G13" s="93">
        <v>5</v>
      </c>
      <c r="H13" s="93">
        <f>(D13*F13*G13)+((E13*(F13/2))*G13)</f>
        <v>2295000</v>
      </c>
      <c r="I13" s="94">
        <f>((C13-D13-E13)*F13*G13)+(E13*(F13/2))*5</f>
        <v>89505000</v>
      </c>
      <c r="J13" s="93">
        <f>H13+I13</f>
        <v>91800000</v>
      </c>
      <c r="K13" s="90">
        <v>360</v>
      </c>
      <c r="L13" s="92">
        <v>5</v>
      </c>
      <c r="M13" s="92">
        <v>8</v>
      </c>
      <c r="N13" s="93">
        <v>51000</v>
      </c>
      <c r="O13" s="93">
        <v>4</v>
      </c>
      <c r="P13" s="93">
        <f>(L13*N13*O13)+((M13*(N13/2))*O13)</f>
        <v>1836000</v>
      </c>
      <c r="Q13" s="94">
        <f>((K13-L13-M13)*N13*O13)+(M13*(N13/2))*4</f>
        <v>71604000</v>
      </c>
      <c r="R13" s="93">
        <f>P13+Q13</f>
        <v>73440000</v>
      </c>
      <c r="S13" s="93">
        <f t="shared" si="10"/>
        <v>4131000</v>
      </c>
      <c r="T13" s="95">
        <f t="shared" si="10"/>
        <v>161109000</v>
      </c>
      <c r="U13" s="93">
        <f t="shared" si="10"/>
        <v>165240000</v>
      </c>
      <c r="V13" s="94">
        <f t="shared" si="11"/>
        <v>66000000</v>
      </c>
      <c r="W13" s="96">
        <f t="shared" si="3"/>
        <v>99240000</v>
      </c>
      <c r="X13" s="75">
        <f t="shared" si="12"/>
        <v>66</v>
      </c>
    </row>
    <row r="14" spans="1:24" s="76" customFormat="1">
      <c r="A14" s="89" t="s">
        <v>125</v>
      </c>
      <c r="B14" s="90" t="s">
        <v>34</v>
      </c>
      <c r="C14" s="17">
        <v>280</v>
      </c>
      <c r="D14" s="92">
        <v>2</v>
      </c>
      <c r="E14" s="92">
        <v>4</v>
      </c>
      <c r="F14" s="93">
        <v>51000</v>
      </c>
      <c r="G14" s="93">
        <v>5</v>
      </c>
      <c r="H14" s="93">
        <f t="shared" si="4"/>
        <v>1020000</v>
      </c>
      <c r="I14" s="94">
        <f t="shared" si="5"/>
        <v>70380000</v>
      </c>
      <c r="J14" s="93">
        <f t="shared" si="6"/>
        <v>71400000</v>
      </c>
      <c r="K14" s="17">
        <v>290</v>
      </c>
      <c r="L14" s="92">
        <v>2</v>
      </c>
      <c r="M14" s="92">
        <v>4</v>
      </c>
      <c r="N14" s="93">
        <v>51000</v>
      </c>
      <c r="O14" s="93">
        <v>4</v>
      </c>
      <c r="P14" s="93">
        <f t="shared" si="7"/>
        <v>816000</v>
      </c>
      <c r="Q14" s="94">
        <f t="shared" si="8"/>
        <v>58344000</v>
      </c>
      <c r="R14" s="93">
        <f t="shared" si="9"/>
        <v>59160000</v>
      </c>
      <c r="S14" s="93">
        <f t="shared" si="10"/>
        <v>1836000</v>
      </c>
      <c r="T14" s="95">
        <f t="shared" si="10"/>
        <v>128724000</v>
      </c>
      <c r="U14" s="93">
        <f t="shared" si="10"/>
        <v>130560000</v>
      </c>
      <c r="V14" s="94">
        <f t="shared" si="11"/>
        <v>52000000</v>
      </c>
      <c r="W14" s="96">
        <f t="shared" si="3"/>
        <v>78560000</v>
      </c>
      <c r="X14" s="75">
        <f t="shared" si="12"/>
        <v>52</v>
      </c>
    </row>
    <row r="15" spans="1:24" s="76" customFormat="1">
      <c r="A15" s="89" t="s">
        <v>126</v>
      </c>
      <c r="B15" s="90" t="s">
        <v>164</v>
      </c>
      <c r="C15" s="90">
        <v>280</v>
      </c>
      <c r="D15" s="92">
        <v>5</v>
      </c>
      <c r="E15" s="92">
        <v>5</v>
      </c>
      <c r="F15" s="93">
        <v>51000</v>
      </c>
      <c r="G15" s="93">
        <v>5</v>
      </c>
      <c r="H15" s="93">
        <f t="shared" si="4"/>
        <v>1912500</v>
      </c>
      <c r="I15" s="94">
        <f t="shared" si="5"/>
        <v>69487500</v>
      </c>
      <c r="J15" s="93">
        <f t="shared" si="6"/>
        <v>71400000</v>
      </c>
      <c r="K15" s="90">
        <v>330</v>
      </c>
      <c r="L15" s="92">
        <v>7</v>
      </c>
      <c r="M15" s="92">
        <v>6</v>
      </c>
      <c r="N15" s="93">
        <v>51000</v>
      </c>
      <c r="O15" s="93">
        <v>4</v>
      </c>
      <c r="P15" s="93">
        <f t="shared" si="7"/>
        <v>2040000</v>
      </c>
      <c r="Q15" s="94">
        <f t="shared" si="8"/>
        <v>65280000</v>
      </c>
      <c r="R15" s="93">
        <f t="shared" si="9"/>
        <v>67320000</v>
      </c>
      <c r="S15" s="93">
        <f t="shared" si="10"/>
        <v>3952500</v>
      </c>
      <c r="T15" s="95">
        <f t="shared" si="10"/>
        <v>134767500</v>
      </c>
      <c r="U15" s="93">
        <f t="shared" si="10"/>
        <v>138720000</v>
      </c>
      <c r="V15" s="94">
        <f t="shared" si="11"/>
        <v>55000000</v>
      </c>
      <c r="W15" s="96">
        <f t="shared" si="3"/>
        <v>83720000</v>
      </c>
      <c r="X15" s="75">
        <f t="shared" si="12"/>
        <v>55</v>
      </c>
    </row>
    <row r="16" spans="1:24" s="76" customFormat="1">
      <c r="A16" s="89" t="s">
        <v>127</v>
      </c>
      <c r="B16" s="90" t="s">
        <v>165</v>
      </c>
      <c r="C16" s="90">
        <v>215</v>
      </c>
      <c r="D16" s="92">
        <v>2</v>
      </c>
      <c r="E16" s="92">
        <v>2</v>
      </c>
      <c r="F16" s="93">
        <v>51000</v>
      </c>
      <c r="G16" s="93">
        <v>5</v>
      </c>
      <c r="H16" s="93">
        <f t="shared" si="4"/>
        <v>765000</v>
      </c>
      <c r="I16" s="94">
        <f t="shared" si="5"/>
        <v>54060000</v>
      </c>
      <c r="J16" s="93">
        <f>H16+I16</f>
        <v>54825000</v>
      </c>
      <c r="K16" s="90">
        <v>210</v>
      </c>
      <c r="L16" s="92">
        <v>2</v>
      </c>
      <c r="M16" s="92">
        <v>3</v>
      </c>
      <c r="N16" s="93">
        <v>51000</v>
      </c>
      <c r="O16" s="93">
        <v>4</v>
      </c>
      <c r="P16" s="93">
        <f t="shared" si="7"/>
        <v>714000</v>
      </c>
      <c r="Q16" s="94">
        <f>((K16-L16-M16)*N16*O16)+(M16*(N16/2))*4</f>
        <v>42126000</v>
      </c>
      <c r="R16" s="93">
        <f>P16+Q16</f>
        <v>42840000</v>
      </c>
      <c r="S16" s="93">
        <f t="shared" si="10"/>
        <v>1479000</v>
      </c>
      <c r="T16" s="95">
        <f t="shared" si="10"/>
        <v>96186000</v>
      </c>
      <c r="U16" s="93">
        <f t="shared" si="10"/>
        <v>97665000</v>
      </c>
      <c r="V16" s="94">
        <f t="shared" si="11"/>
        <v>39000000</v>
      </c>
      <c r="W16" s="96">
        <f t="shared" si="3"/>
        <v>58665000</v>
      </c>
      <c r="X16" s="75">
        <f t="shared" si="12"/>
        <v>39</v>
      </c>
    </row>
    <row r="17" spans="1:24" s="76" customFormat="1">
      <c r="A17" s="89" t="s">
        <v>128</v>
      </c>
      <c r="B17" s="90" t="s">
        <v>166</v>
      </c>
      <c r="C17" s="90">
        <v>280</v>
      </c>
      <c r="D17" s="92">
        <v>10</v>
      </c>
      <c r="E17" s="92"/>
      <c r="F17" s="93">
        <v>79000</v>
      </c>
      <c r="G17" s="93">
        <v>5</v>
      </c>
      <c r="H17" s="93">
        <f t="shared" si="4"/>
        <v>3950000</v>
      </c>
      <c r="I17" s="94">
        <f t="shared" si="5"/>
        <v>106650000</v>
      </c>
      <c r="J17" s="93">
        <f>H17+I17</f>
        <v>110600000</v>
      </c>
      <c r="K17" s="90">
        <v>280</v>
      </c>
      <c r="L17" s="92">
        <v>10</v>
      </c>
      <c r="M17" s="92"/>
      <c r="N17" s="93">
        <v>79000</v>
      </c>
      <c r="O17" s="93">
        <v>4</v>
      </c>
      <c r="P17" s="93">
        <f t="shared" si="7"/>
        <v>3160000</v>
      </c>
      <c r="Q17" s="94">
        <f>((K17-L17-M17)*N17*O17)+(M17*(N17/2))*4</f>
        <v>85320000</v>
      </c>
      <c r="R17" s="93">
        <f>P17+Q17</f>
        <v>88480000</v>
      </c>
      <c r="S17" s="93">
        <f t="shared" si="10"/>
        <v>7110000</v>
      </c>
      <c r="T17" s="95">
        <f t="shared" si="10"/>
        <v>191970000</v>
      </c>
      <c r="U17" s="93">
        <f t="shared" si="10"/>
        <v>199080000</v>
      </c>
      <c r="V17" s="94">
        <f t="shared" si="11"/>
        <v>80000000</v>
      </c>
      <c r="W17" s="96">
        <f t="shared" si="3"/>
        <v>119080000</v>
      </c>
      <c r="X17" s="75">
        <f t="shared" si="12"/>
        <v>80</v>
      </c>
    </row>
    <row r="18" spans="1:24" s="76" customFormat="1" ht="24">
      <c r="A18" s="89" t="s">
        <v>129</v>
      </c>
      <c r="B18" s="90" t="s">
        <v>38</v>
      </c>
      <c r="C18" s="90">
        <v>350</v>
      </c>
      <c r="D18" s="97">
        <v>5</v>
      </c>
      <c r="E18" s="97">
        <v>10</v>
      </c>
      <c r="F18" s="93">
        <v>79000</v>
      </c>
      <c r="G18" s="93">
        <v>5</v>
      </c>
      <c r="H18" s="93">
        <f t="shared" si="4"/>
        <v>3950000</v>
      </c>
      <c r="I18" s="94">
        <f t="shared" si="5"/>
        <v>134300000</v>
      </c>
      <c r="J18" s="93">
        <f t="shared" si="6"/>
        <v>138250000</v>
      </c>
      <c r="K18" s="90">
        <v>350</v>
      </c>
      <c r="L18" s="92">
        <v>5</v>
      </c>
      <c r="M18" s="92">
        <v>10</v>
      </c>
      <c r="N18" s="93">
        <v>79000</v>
      </c>
      <c r="O18" s="93">
        <v>4</v>
      </c>
      <c r="P18" s="93">
        <f t="shared" si="7"/>
        <v>3160000</v>
      </c>
      <c r="Q18" s="94">
        <f t="shared" si="8"/>
        <v>107440000</v>
      </c>
      <c r="R18" s="93">
        <f t="shared" si="9"/>
        <v>110600000</v>
      </c>
      <c r="S18" s="93">
        <f t="shared" si="10"/>
        <v>7110000</v>
      </c>
      <c r="T18" s="95">
        <f t="shared" si="10"/>
        <v>241740000</v>
      </c>
      <c r="U18" s="93">
        <f t="shared" si="10"/>
        <v>248850000</v>
      </c>
      <c r="V18" s="94">
        <f t="shared" si="11"/>
        <v>100000000</v>
      </c>
      <c r="W18" s="96">
        <f t="shared" si="3"/>
        <v>148850000</v>
      </c>
      <c r="X18" s="75">
        <f t="shared" si="12"/>
        <v>100</v>
      </c>
    </row>
    <row r="19" spans="1:24" s="76" customFormat="1">
      <c r="A19" s="89" t="s">
        <v>130</v>
      </c>
      <c r="B19" s="90" t="s">
        <v>39</v>
      </c>
      <c r="C19" s="90">
        <v>200</v>
      </c>
      <c r="D19" s="92">
        <v>4</v>
      </c>
      <c r="E19" s="92">
        <v>2</v>
      </c>
      <c r="F19" s="93">
        <v>51000</v>
      </c>
      <c r="G19" s="93">
        <v>5</v>
      </c>
      <c r="H19" s="93">
        <f t="shared" si="4"/>
        <v>1275000</v>
      </c>
      <c r="I19" s="94">
        <f t="shared" si="5"/>
        <v>49725000</v>
      </c>
      <c r="J19" s="93">
        <f t="shared" si="6"/>
        <v>51000000</v>
      </c>
      <c r="K19" s="90">
        <v>190</v>
      </c>
      <c r="L19" s="92">
        <v>4</v>
      </c>
      <c r="M19" s="92">
        <v>2</v>
      </c>
      <c r="N19" s="93">
        <v>51000</v>
      </c>
      <c r="O19" s="93">
        <v>4</v>
      </c>
      <c r="P19" s="93">
        <f t="shared" si="7"/>
        <v>1020000</v>
      </c>
      <c r="Q19" s="94">
        <f t="shared" si="8"/>
        <v>37740000</v>
      </c>
      <c r="R19" s="93">
        <f t="shared" si="9"/>
        <v>38760000</v>
      </c>
      <c r="S19" s="93">
        <f t="shared" si="10"/>
        <v>2295000</v>
      </c>
      <c r="T19" s="95">
        <f t="shared" si="10"/>
        <v>87465000</v>
      </c>
      <c r="U19" s="93">
        <f t="shared" si="10"/>
        <v>89760000</v>
      </c>
      <c r="V19" s="94">
        <f t="shared" si="11"/>
        <v>36000000</v>
      </c>
      <c r="W19" s="96">
        <f t="shared" si="3"/>
        <v>53760000</v>
      </c>
      <c r="X19" s="75">
        <f t="shared" si="12"/>
        <v>36</v>
      </c>
    </row>
    <row r="20" spans="1:24" s="76" customFormat="1">
      <c r="A20" s="89" t="s">
        <v>131</v>
      </c>
      <c r="B20" s="90" t="s">
        <v>196</v>
      </c>
      <c r="C20" s="17">
        <v>190</v>
      </c>
      <c r="D20" s="92">
        <v>2</v>
      </c>
      <c r="E20" s="92">
        <v>6</v>
      </c>
      <c r="F20" s="93">
        <v>51000</v>
      </c>
      <c r="G20" s="93">
        <v>5</v>
      </c>
      <c r="H20" s="93">
        <f t="shared" si="4"/>
        <v>1275000</v>
      </c>
      <c r="I20" s="94">
        <f t="shared" si="5"/>
        <v>47175000</v>
      </c>
      <c r="J20" s="93">
        <f t="shared" si="6"/>
        <v>48450000</v>
      </c>
      <c r="K20" s="17">
        <v>190</v>
      </c>
      <c r="L20" s="92">
        <v>2</v>
      </c>
      <c r="M20" s="92">
        <v>4</v>
      </c>
      <c r="N20" s="93">
        <v>51000</v>
      </c>
      <c r="O20" s="93">
        <v>4</v>
      </c>
      <c r="P20" s="93">
        <f>(L20*N20*O20)+((M20*(N20/2))*O20)</f>
        <v>816000</v>
      </c>
      <c r="Q20" s="94">
        <f>((K20-L20-M20)*N20*O20)+(M20*(N20/2))*4</f>
        <v>37944000</v>
      </c>
      <c r="R20" s="93">
        <f>P20+Q20</f>
        <v>38760000</v>
      </c>
      <c r="S20" s="93">
        <f t="shared" si="10"/>
        <v>2091000</v>
      </c>
      <c r="T20" s="95">
        <f t="shared" si="10"/>
        <v>85119000</v>
      </c>
      <c r="U20" s="93">
        <f t="shared" si="10"/>
        <v>87210000</v>
      </c>
      <c r="V20" s="94">
        <f t="shared" si="11"/>
        <v>35000000</v>
      </c>
      <c r="W20" s="96">
        <f t="shared" si="3"/>
        <v>52210000</v>
      </c>
      <c r="X20" s="75">
        <f t="shared" si="12"/>
        <v>35</v>
      </c>
    </row>
    <row r="21" spans="1:24" s="76" customFormat="1">
      <c r="A21" s="89" t="s">
        <v>132</v>
      </c>
      <c r="B21" s="90" t="s">
        <v>197</v>
      </c>
      <c r="C21" s="90">
        <v>155</v>
      </c>
      <c r="D21" s="92">
        <v>16</v>
      </c>
      <c r="E21" s="92">
        <v>5</v>
      </c>
      <c r="F21" s="93">
        <v>51000</v>
      </c>
      <c r="G21" s="93">
        <v>5</v>
      </c>
      <c r="H21" s="93">
        <f t="shared" si="4"/>
        <v>4717500</v>
      </c>
      <c r="I21" s="94">
        <f t="shared" si="5"/>
        <v>34807500</v>
      </c>
      <c r="J21" s="93">
        <f t="shared" si="6"/>
        <v>39525000</v>
      </c>
      <c r="K21" s="90">
        <v>155</v>
      </c>
      <c r="L21" s="92">
        <v>16</v>
      </c>
      <c r="M21" s="92">
        <v>5</v>
      </c>
      <c r="N21" s="93">
        <v>51000</v>
      </c>
      <c r="O21" s="93">
        <v>4</v>
      </c>
      <c r="P21" s="93">
        <f>(L21*N21*O21)+((M21*(N21/2))*O21)</f>
        <v>3774000</v>
      </c>
      <c r="Q21" s="94">
        <f>((K21-L21-M21)*N21*O21)+(M21*(N21/2))*4</f>
        <v>27846000</v>
      </c>
      <c r="R21" s="93">
        <f>P21+Q21</f>
        <v>31620000</v>
      </c>
      <c r="S21" s="93">
        <f t="shared" si="10"/>
        <v>8491500</v>
      </c>
      <c r="T21" s="95">
        <f t="shared" si="10"/>
        <v>62653500</v>
      </c>
      <c r="U21" s="93">
        <f t="shared" si="10"/>
        <v>71145000</v>
      </c>
      <c r="V21" s="94">
        <f t="shared" si="11"/>
        <v>28000000</v>
      </c>
      <c r="W21" s="96">
        <f t="shared" si="3"/>
        <v>43145000</v>
      </c>
      <c r="X21" s="75">
        <f t="shared" si="12"/>
        <v>28</v>
      </c>
    </row>
    <row r="22" spans="1:24" s="76" customFormat="1">
      <c r="A22" s="89" t="s">
        <v>133</v>
      </c>
      <c r="B22" s="90" t="s">
        <v>167</v>
      </c>
      <c r="C22" s="90">
        <v>236</v>
      </c>
      <c r="D22" s="92">
        <v>65</v>
      </c>
      <c r="E22" s="92">
        <v>2</v>
      </c>
      <c r="F22" s="93">
        <v>51000</v>
      </c>
      <c r="G22" s="93">
        <v>5</v>
      </c>
      <c r="H22" s="93">
        <f t="shared" si="4"/>
        <v>16830000</v>
      </c>
      <c r="I22" s="94">
        <f t="shared" si="5"/>
        <v>43350000</v>
      </c>
      <c r="J22" s="93">
        <f t="shared" si="6"/>
        <v>60180000</v>
      </c>
      <c r="K22" s="90">
        <v>230</v>
      </c>
      <c r="L22" s="92">
        <v>60</v>
      </c>
      <c r="M22" s="92">
        <v>2</v>
      </c>
      <c r="N22" s="93">
        <v>51000</v>
      </c>
      <c r="O22" s="93">
        <v>4</v>
      </c>
      <c r="P22" s="93">
        <f>(L22*N22*O22)+((M22*(N22/2))*O22)</f>
        <v>12444000</v>
      </c>
      <c r="Q22" s="94">
        <f>((K22-L22-M22)*N22*O22)+(M22*(N22/2))*4</f>
        <v>34476000</v>
      </c>
      <c r="R22" s="93">
        <f>P22+Q22</f>
        <v>46920000</v>
      </c>
      <c r="S22" s="93">
        <f t="shared" si="10"/>
        <v>29274000</v>
      </c>
      <c r="T22" s="95">
        <f t="shared" si="10"/>
        <v>77826000</v>
      </c>
      <c r="U22" s="93">
        <f t="shared" si="10"/>
        <v>107100000</v>
      </c>
      <c r="V22" s="94">
        <f t="shared" si="11"/>
        <v>43000000</v>
      </c>
      <c r="W22" s="96">
        <f t="shared" si="3"/>
        <v>64100000</v>
      </c>
      <c r="X22" s="75">
        <f t="shared" si="12"/>
        <v>43</v>
      </c>
    </row>
    <row r="23" spans="1:24" s="76" customFormat="1">
      <c r="A23" s="89" t="s">
        <v>134</v>
      </c>
      <c r="B23" s="90" t="s">
        <v>168</v>
      </c>
      <c r="C23" s="90">
        <v>152</v>
      </c>
      <c r="D23" s="92">
        <v>54</v>
      </c>
      <c r="E23" s="92"/>
      <c r="F23" s="93">
        <v>51000</v>
      </c>
      <c r="G23" s="93">
        <v>5</v>
      </c>
      <c r="H23" s="93">
        <f t="shared" si="4"/>
        <v>13770000</v>
      </c>
      <c r="I23" s="94">
        <f t="shared" si="5"/>
        <v>24990000</v>
      </c>
      <c r="J23" s="93">
        <f t="shared" si="6"/>
        <v>38760000</v>
      </c>
      <c r="K23" s="90">
        <v>145</v>
      </c>
      <c r="L23" s="92">
        <v>66</v>
      </c>
      <c r="M23" s="92"/>
      <c r="N23" s="93">
        <v>51000</v>
      </c>
      <c r="O23" s="93">
        <v>4</v>
      </c>
      <c r="P23" s="93">
        <f>(L23*N23*O23)+((M23*(N23/2))*O23)</f>
        <v>13464000</v>
      </c>
      <c r="Q23" s="94">
        <f>((K23-L23-M23)*N23*O23)+(M23*(N23/2))*4</f>
        <v>16116000</v>
      </c>
      <c r="R23" s="93">
        <f>P23+Q23</f>
        <v>29580000</v>
      </c>
      <c r="S23" s="93">
        <f t="shared" si="10"/>
        <v>27234000</v>
      </c>
      <c r="T23" s="95">
        <f t="shared" si="10"/>
        <v>41106000</v>
      </c>
      <c r="U23" s="93">
        <f t="shared" si="10"/>
        <v>68340000</v>
      </c>
      <c r="V23" s="94">
        <f t="shared" si="11"/>
        <v>27000000</v>
      </c>
      <c r="W23" s="96">
        <f t="shared" si="3"/>
        <v>41340000</v>
      </c>
      <c r="X23" s="75">
        <f t="shared" si="12"/>
        <v>27</v>
      </c>
    </row>
    <row r="24" spans="1:24" s="76" customFormat="1" ht="24">
      <c r="A24" s="89" t="s">
        <v>135</v>
      </c>
      <c r="B24" s="90" t="s">
        <v>44</v>
      </c>
      <c r="C24" s="90">
        <v>310</v>
      </c>
      <c r="D24" s="92">
        <v>95</v>
      </c>
      <c r="E24" s="92">
        <v>20</v>
      </c>
      <c r="F24" s="93">
        <v>51000</v>
      </c>
      <c r="G24" s="93">
        <v>5</v>
      </c>
      <c r="H24" s="93">
        <f t="shared" si="4"/>
        <v>26775000</v>
      </c>
      <c r="I24" s="94">
        <f t="shared" si="5"/>
        <v>52275000</v>
      </c>
      <c r="J24" s="93">
        <f t="shared" si="6"/>
        <v>79050000</v>
      </c>
      <c r="K24" s="90">
        <v>310</v>
      </c>
      <c r="L24" s="92">
        <v>110</v>
      </c>
      <c r="M24" s="92">
        <v>20</v>
      </c>
      <c r="N24" s="93">
        <v>51000</v>
      </c>
      <c r="O24" s="93">
        <v>4</v>
      </c>
      <c r="P24" s="93">
        <f t="shared" si="7"/>
        <v>24480000</v>
      </c>
      <c r="Q24" s="94">
        <f t="shared" si="8"/>
        <v>38760000</v>
      </c>
      <c r="R24" s="93">
        <f t="shared" si="9"/>
        <v>63240000</v>
      </c>
      <c r="S24" s="93">
        <f t="shared" si="10"/>
        <v>51255000</v>
      </c>
      <c r="T24" s="95">
        <f t="shared" si="10"/>
        <v>91035000</v>
      </c>
      <c r="U24" s="93">
        <f t="shared" si="10"/>
        <v>142290000</v>
      </c>
      <c r="V24" s="94">
        <f t="shared" si="11"/>
        <v>57000000</v>
      </c>
      <c r="W24" s="96">
        <f t="shared" si="3"/>
        <v>85290000</v>
      </c>
      <c r="X24" s="75">
        <f t="shared" si="12"/>
        <v>57</v>
      </c>
    </row>
    <row r="25" spans="1:24" s="76" customFormat="1" ht="24">
      <c r="A25" s="89" t="s">
        <v>136</v>
      </c>
      <c r="B25" s="90" t="s">
        <v>45</v>
      </c>
      <c r="C25" s="17">
        <v>162</v>
      </c>
      <c r="D25" s="92">
        <v>49</v>
      </c>
      <c r="E25" s="92">
        <v>13</v>
      </c>
      <c r="F25" s="93">
        <v>51000</v>
      </c>
      <c r="G25" s="93">
        <v>5</v>
      </c>
      <c r="H25" s="93">
        <f t="shared" si="4"/>
        <v>14152500</v>
      </c>
      <c r="I25" s="94">
        <f t="shared" si="5"/>
        <v>27157500</v>
      </c>
      <c r="J25" s="93">
        <f t="shared" si="6"/>
        <v>41310000</v>
      </c>
      <c r="K25" s="17">
        <v>162</v>
      </c>
      <c r="L25" s="92">
        <v>52</v>
      </c>
      <c r="M25" s="92">
        <v>15</v>
      </c>
      <c r="N25" s="93">
        <v>51000</v>
      </c>
      <c r="O25" s="93">
        <v>4</v>
      </c>
      <c r="P25" s="93">
        <f t="shared" si="7"/>
        <v>12138000</v>
      </c>
      <c r="Q25" s="94">
        <f t="shared" si="8"/>
        <v>20910000</v>
      </c>
      <c r="R25" s="93">
        <f t="shared" si="9"/>
        <v>33048000</v>
      </c>
      <c r="S25" s="93">
        <f t="shared" si="10"/>
        <v>26290500</v>
      </c>
      <c r="T25" s="95">
        <f t="shared" si="10"/>
        <v>48067500</v>
      </c>
      <c r="U25" s="93">
        <f t="shared" si="10"/>
        <v>74358000</v>
      </c>
      <c r="V25" s="94">
        <f t="shared" si="11"/>
        <v>30000000</v>
      </c>
      <c r="W25" s="96">
        <f t="shared" si="3"/>
        <v>44358000</v>
      </c>
      <c r="X25" s="75">
        <f t="shared" si="12"/>
        <v>30</v>
      </c>
    </row>
    <row r="26" spans="1:24" s="76" customFormat="1">
      <c r="A26" s="89" t="s">
        <v>137</v>
      </c>
      <c r="B26" s="90" t="s">
        <v>46</v>
      </c>
      <c r="C26" s="91">
        <v>151</v>
      </c>
      <c r="D26" s="92">
        <v>44</v>
      </c>
      <c r="E26" s="92">
        <v>5</v>
      </c>
      <c r="F26" s="93">
        <v>51000</v>
      </c>
      <c r="G26" s="93">
        <v>5</v>
      </c>
      <c r="H26" s="93">
        <f t="shared" si="4"/>
        <v>11857500</v>
      </c>
      <c r="I26" s="94">
        <f t="shared" si="5"/>
        <v>26647500</v>
      </c>
      <c r="J26" s="93">
        <f t="shared" si="6"/>
        <v>38505000</v>
      </c>
      <c r="K26" s="91">
        <v>162</v>
      </c>
      <c r="L26" s="92">
        <v>53</v>
      </c>
      <c r="M26" s="92">
        <v>5</v>
      </c>
      <c r="N26" s="93">
        <v>51000</v>
      </c>
      <c r="O26" s="93">
        <v>4</v>
      </c>
      <c r="P26" s="93">
        <f t="shared" si="7"/>
        <v>11322000</v>
      </c>
      <c r="Q26" s="94">
        <f t="shared" si="8"/>
        <v>21726000</v>
      </c>
      <c r="R26" s="93">
        <f t="shared" si="9"/>
        <v>33048000</v>
      </c>
      <c r="S26" s="93">
        <f t="shared" si="10"/>
        <v>23179500</v>
      </c>
      <c r="T26" s="95">
        <f t="shared" si="10"/>
        <v>48373500</v>
      </c>
      <c r="U26" s="93">
        <f t="shared" si="10"/>
        <v>71553000</v>
      </c>
      <c r="V26" s="94">
        <f t="shared" si="11"/>
        <v>29000000</v>
      </c>
      <c r="W26" s="96">
        <f t="shared" si="3"/>
        <v>42553000</v>
      </c>
      <c r="X26" s="75">
        <f t="shared" si="12"/>
        <v>29</v>
      </c>
    </row>
    <row r="27" spans="1:24" s="76" customFormat="1">
      <c r="A27" s="89" t="s">
        <v>138</v>
      </c>
      <c r="B27" s="90" t="s">
        <v>47</v>
      </c>
      <c r="C27" s="90">
        <v>115</v>
      </c>
      <c r="D27" s="92">
        <v>31</v>
      </c>
      <c r="E27" s="92">
        <v>2</v>
      </c>
      <c r="F27" s="93">
        <v>51000</v>
      </c>
      <c r="G27" s="93">
        <v>5</v>
      </c>
      <c r="H27" s="93">
        <f t="shared" si="4"/>
        <v>8160000</v>
      </c>
      <c r="I27" s="94">
        <f t="shared" si="5"/>
        <v>21165000</v>
      </c>
      <c r="J27" s="93">
        <f t="shared" si="6"/>
        <v>29325000</v>
      </c>
      <c r="K27" s="90">
        <v>115</v>
      </c>
      <c r="L27" s="92">
        <v>26</v>
      </c>
      <c r="M27" s="92">
        <v>2</v>
      </c>
      <c r="N27" s="93">
        <v>51000</v>
      </c>
      <c r="O27" s="93">
        <v>4</v>
      </c>
      <c r="P27" s="93">
        <f t="shared" si="7"/>
        <v>5508000</v>
      </c>
      <c r="Q27" s="94">
        <f t="shared" si="8"/>
        <v>17952000</v>
      </c>
      <c r="R27" s="93">
        <f t="shared" si="9"/>
        <v>23460000</v>
      </c>
      <c r="S27" s="93">
        <f t="shared" si="10"/>
        <v>13668000</v>
      </c>
      <c r="T27" s="95">
        <f t="shared" si="10"/>
        <v>39117000</v>
      </c>
      <c r="U27" s="93">
        <f t="shared" si="10"/>
        <v>52785000</v>
      </c>
      <c r="V27" s="94">
        <f t="shared" si="11"/>
        <v>21000000</v>
      </c>
      <c r="W27" s="96">
        <f t="shared" si="3"/>
        <v>31785000</v>
      </c>
      <c r="X27" s="75">
        <f t="shared" si="12"/>
        <v>21</v>
      </c>
    </row>
    <row r="28" spans="1:24" s="76" customFormat="1">
      <c r="A28" s="89" t="s">
        <v>139</v>
      </c>
      <c r="B28" s="90" t="s">
        <v>140</v>
      </c>
      <c r="C28" s="90">
        <v>232</v>
      </c>
      <c r="D28" s="92">
        <v>10</v>
      </c>
      <c r="E28" s="92">
        <v>5</v>
      </c>
      <c r="F28" s="93">
        <v>51000</v>
      </c>
      <c r="G28" s="93">
        <v>5</v>
      </c>
      <c r="H28" s="93">
        <f t="shared" si="4"/>
        <v>3187500</v>
      </c>
      <c r="I28" s="94">
        <f t="shared" si="5"/>
        <v>55972500</v>
      </c>
      <c r="J28" s="93">
        <f t="shared" si="6"/>
        <v>59160000</v>
      </c>
      <c r="K28" s="90">
        <v>236</v>
      </c>
      <c r="L28" s="92">
        <v>7</v>
      </c>
      <c r="M28" s="92">
        <v>3</v>
      </c>
      <c r="N28" s="93">
        <v>51000</v>
      </c>
      <c r="O28" s="93">
        <v>4</v>
      </c>
      <c r="P28" s="93">
        <f t="shared" si="7"/>
        <v>1734000</v>
      </c>
      <c r="Q28" s="94">
        <f t="shared" si="8"/>
        <v>46410000</v>
      </c>
      <c r="R28" s="93">
        <f t="shared" si="9"/>
        <v>48144000</v>
      </c>
      <c r="S28" s="93">
        <f>H28+P28</f>
        <v>4921500</v>
      </c>
      <c r="T28" s="95">
        <f t="shared" si="10"/>
        <v>102382500</v>
      </c>
      <c r="U28" s="93">
        <f t="shared" si="10"/>
        <v>107304000</v>
      </c>
      <c r="V28" s="94">
        <f t="shared" si="11"/>
        <v>43000000</v>
      </c>
      <c r="W28" s="96">
        <f t="shared" si="3"/>
        <v>64304000</v>
      </c>
      <c r="X28" s="75">
        <f t="shared" si="12"/>
        <v>43</v>
      </c>
    </row>
    <row r="29" spans="1:24" s="76" customFormat="1">
      <c r="A29" s="89" t="s">
        <v>141</v>
      </c>
      <c r="B29" s="90" t="s">
        <v>49</v>
      </c>
      <c r="C29" s="96">
        <v>200</v>
      </c>
      <c r="D29" s="92">
        <v>2</v>
      </c>
      <c r="E29" s="92">
        <v>4</v>
      </c>
      <c r="F29" s="93">
        <v>51000</v>
      </c>
      <c r="G29" s="93">
        <v>5</v>
      </c>
      <c r="H29" s="93">
        <f t="shared" si="4"/>
        <v>1020000</v>
      </c>
      <c r="I29" s="94">
        <f t="shared" si="5"/>
        <v>49980000</v>
      </c>
      <c r="J29" s="93">
        <f t="shared" si="6"/>
        <v>51000000</v>
      </c>
      <c r="K29" s="96">
        <v>192</v>
      </c>
      <c r="L29" s="92">
        <v>2</v>
      </c>
      <c r="M29" s="92">
        <v>4</v>
      </c>
      <c r="N29" s="93">
        <v>51000</v>
      </c>
      <c r="O29" s="93">
        <v>4</v>
      </c>
      <c r="P29" s="93">
        <f t="shared" si="7"/>
        <v>816000</v>
      </c>
      <c r="Q29" s="94">
        <f t="shared" si="8"/>
        <v>38352000</v>
      </c>
      <c r="R29" s="93">
        <f t="shared" si="9"/>
        <v>39168000</v>
      </c>
      <c r="S29" s="93">
        <f t="shared" si="10"/>
        <v>1836000</v>
      </c>
      <c r="T29" s="95">
        <f t="shared" si="10"/>
        <v>88332000</v>
      </c>
      <c r="U29" s="93">
        <f t="shared" si="10"/>
        <v>90168000</v>
      </c>
      <c r="V29" s="94">
        <f t="shared" si="11"/>
        <v>36000000</v>
      </c>
      <c r="W29" s="96">
        <f t="shared" si="3"/>
        <v>54168000</v>
      </c>
      <c r="X29" s="75">
        <f t="shared" si="12"/>
        <v>36</v>
      </c>
    </row>
    <row r="30" spans="1:24" s="76" customFormat="1">
      <c r="A30" s="89" t="s">
        <v>142</v>
      </c>
      <c r="B30" s="90" t="s">
        <v>50</v>
      </c>
      <c r="C30" s="90">
        <v>232</v>
      </c>
      <c r="D30" s="92">
        <v>8</v>
      </c>
      <c r="E30" s="92">
        <v>9</v>
      </c>
      <c r="F30" s="93">
        <v>51000</v>
      </c>
      <c r="G30" s="93">
        <v>5</v>
      </c>
      <c r="H30" s="93">
        <f t="shared" si="4"/>
        <v>3187500</v>
      </c>
      <c r="I30" s="94">
        <f t="shared" si="5"/>
        <v>55972500</v>
      </c>
      <c r="J30" s="93">
        <f t="shared" si="6"/>
        <v>59160000</v>
      </c>
      <c r="K30" s="90">
        <v>232</v>
      </c>
      <c r="L30" s="92">
        <v>7</v>
      </c>
      <c r="M30" s="92">
        <v>8</v>
      </c>
      <c r="N30" s="93">
        <v>51000</v>
      </c>
      <c r="O30" s="93">
        <v>4</v>
      </c>
      <c r="P30" s="93">
        <f t="shared" si="7"/>
        <v>2244000</v>
      </c>
      <c r="Q30" s="94">
        <f t="shared" si="8"/>
        <v>45084000</v>
      </c>
      <c r="R30" s="93">
        <f t="shared" si="9"/>
        <v>47328000</v>
      </c>
      <c r="S30" s="93">
        <f t="shared" si="10"/>
        <v>5431500</v>
      </c>
      <c r="T30" s="95">
        <f t="shared" si="10"/>
        <v>101056500</v>
      </c>
      <c r="U30" s="93">
        <f t="shared" si="10"/>
        <v>106488000</v>
      </c>
      <c r="V30" s="94">
        <f t="shared" si="11"/>
        <v>43000000</v>
      </c>
      <c r="W30" s="96">
        <f t="shared" si="3"/>
        <v>63488000</v>
      </c>
      <c r="X30" s="75">
        <f t="shared" si="12"/>
        <v>43</v>
      </c>
    </row>
    <row r="31" spans="1:24" s="76" customFormat="1">
      <c r="A31" s="89" t="s">
        <v>143</v>
      </c>
      <c r="B31" s="90" t="s">
        <v>51</v>
      </c>
      <c r="C31" s="96">
        <v>210</v>
      </c>
      <c r="D31" s="92">
        <v>3</v>
      </c>
      <c r="E31" s="92">
        <v>12</v>
      </c>
      <c r="F31" s="93">
        <v>51000</v>
      </c>
      <c r="G31" s="93">
        <v>5</v>
      </c>
      <c r="H31" s="93">
        <f t="shared" si="4"/>
        <v>2295000</v>
      </c>
      <c r="I31" s="94">
        <f t="shared" si="5"/>
        <v>51255000</v>
      </c>
      <c r="J31" s="93">
        <f t="shared" si="6"/>
        <v>53550000</v>
      </c>
      <c r="K31" s="96">
        <v>200</v>
      </c>
      <c r="L31" s="92">
        <v>3</v>
      </c>
      <c r="M31" s="92">
        <v>12</v>
      </c>
      <c r="N31" s="93">
        <v>51000</v>
      </c>
      <c r="O31" s="93">
        <v>4</v>
      </c>
      <c r="P31" s="93">
        <f t="shared" si="7"/>
        <v>1836000</v>
      </c>
      <c r="Q31" s="94">
        <f t="shared" si="8"/>
        <v>38964000</v>
      </c>
      <c r="R31" s="93">
        <f t="shared" si="9"/>
        <v>40800000</v>
      </c>
      <c r="S31" s="93">
        <f>H31+P31</f>
        <v>4131000</v>
      </c>
      <c r="T31" s="95">
        <f t="shared" si="10"/>
        <v>90219000</v>
      </c>
      <c r="U31" s="93">
        <f>J31+R31</f>
        <v>94350000</v>
      </c>
      <c r="V31" s="94">
        <f t="shared" si="11"/>
        <v>38000000</v>
      </c>
      <c r="W31" s="96">
        <f t="shared" si="3"/>
        <v>56350000</v>
      </c>
      <c r="X31" s="75">
        <f t="shared" si="12"/>
        <v>38</v>
      </c>
    </row>
    <row r="32" spans="1:24" s="76" customFormat="1">
      <c r="A32" s="68">
        <v>2</v>
      </c>
      <c r="B32" s="104" t="s">
        <v>146</v>
      </c>
      <c r="C32" s="98">
        <f>SUM(C33:C47)</f>
        <v>6044</v>
      </c>
      <c r="D32" s="70">
        <f>SUM(D33:D47)</f>
        <v>215</v>
      </c>
      <c r="E32" s="70">
        <f>SUM(E33:E47)</f>
        <v>251</v>
      </c>
      <c r="F32" s="99"/>
      <c r="G32" s="99"/>
      <c r="H32" s="99">
        <f>SUM(H33:H47)</f>
        <v>56370000</v>
      </c>
      <c r="I32" s="99">
        <f t="shared" ref="I32:W32" si="13">SUM(I33:I47)</f>
        <v>978710000</v>
      </c>
      <c r="J32" s="99">
        <f t="shared" si="13"/>
        <v>1035080000</v>
      </c>
      <c r="K32" s="99">
        <f t="shared" si="13"/>
        <v>6017</v>
      </c>
      <c r="L32" s="99">
        <f t="shared" si="13"/>
        <v>214</v>
      </c>
      <c r="M32" s="99">
        <f t="shared" si="13"/>
        <v>243</v>
      </c>
      <c r="N32" s="99"/>
      <c r="O32" s="99"/>
      <c r="P32" s="99">
        <f t="shared" si="13"/>
        <v>44456000</v>
      </c>
      <c r="Q32" s="99">
        <f t="shared" si="13"/>
        <v>780152000</v>
      </c>
      <c r="R32" s="99">
        <f t="shared" si="13"/>
        <v>824608000</v>
      </c>
      <c r="S32" s="99">
        <f t="shared" si="13"/>
        <v>100826000</v>
      </c>
      <c r="T32" s="100">
        <f t="shared" si="13"/>
        <v>1758862000</v>
      </c>
      <c r="U32" s="99">
        <f t="shared" si="13"/>
        <v>1859688000</v>
      </c>
      <c r="V32" s="99">
        <f t="shared" si="13"/>
        <v>743000000</v>
      </c>
      <c r="W32" s="99">
        <f t="shared" si="13"/>
        <v>1116688000</v>
      </c>
      <c r="X32" s="75"/>
    </row>
    <row r="33" spans="1:24" s="77" customFormat="1">
      <c r="A33" s="101" t="s">
        <v>120</v>
      </c>
      <c r="B33" s="90" t="s">
        <v>68</v>
      </c>
      <c r="C33" s="17">
        <v>409</v>
      </c>
      <c r="D33" s="92">
        <v>20</v>
      </c>
      <c r="E33" s="92">
        <v>50</v>
      </c>
      <c r="F33" s="93">
        <v>32000</v>
      </c>
      <c r="G33" s="93">
        <v>5</v>
      </c>
      <c r="H33" s="93">
        <f>(D33*F33*G33)+((E33*(F33/2))*G33)</f>
        <v>7200000</v>
      </c>
      <c r="I33" s="94">
        <f t="shared" si="5"/>
        <v>58240000</v>
      </c>
      <c r="J33" s="93">
        <f t="shared" ref="J33:J47" si="14">H33+I33</f>
        <v>65440000</v>
      </c>
      <c r="K33" s="17">
        <v>409</v>
      </c>
      <c r="L33" s="93">
        <f>'[3]cap bu'!H40</f>
        <v>20</v>
      </c>
      <c r="M33" s="93">
        <f>'[3]cap bu'!I40</f>
        <v>50</v>
      </c>
      <c r="N33" s="93">
        <v>32000</v>
      </c>
      <c r="O33" s="93">
        <v>4</v>
      </c>
      <c r="P33" s="93">
        <f>(L33*N33*O33)+((M33*(N33/2))*O33)</f>
        <v>5760000</v>
      </c>
      <c r="Q33" s="94">
        <f>((K33-L33-M33)*N33*O33)+(M33*(N33/2))*4</f>
        <v>46592000</v>
      </c>
      <c r="R33" s="93">
        <f t="shared" si="9"/>
        <v>52352000</v>
      </c>
      <c r="S33" s="93">
        <f>H33+P33</f>
        <v>12960000</v>
      </c>
      <c r="T33" s="95">
        <f>I33+Q33</f>
        <v>104832000</v>
      </c>
      <c r="U33" s="93">
        <f>J33+R33</f>
        <v>117792000</v>
      </c>
      <c r="V33" s="94">
        <f t="shared" si="11"/>
        <v>47000000</v>
      </c>
      <c r="W33" s="96">
        <f t="shared" ref="W33:W47" si="15">+U33-V33</f>
        <v>70792000</v>
      </c>
      <c r="X33" s="75">
        <f t="shared" si="12"/>
        <v>47</v>
      </c>
    </row>
    <row r="34" spans="1:24" s="77" customFormat="1">
      <c r="A34" s="101" t="s">
        <v>121</v>
      </c>
      <c r="B34" s="90" t="s">
        <v>69</v>
      </c>
      <c r="C34" s="17">
        <v>290</v>
      </c>
      <c r="D34" s="102">
        <v>19</v>
      </c>
      <c r="E34" s="92">
        <v>12</v>
      </c>
      <c r="F34" s="93">
        <v>32000</v>
      </c>
      <c r="G34" s="93">
        <v>5</v>
      </c>
      <c r="H34" s="93">
        <f t="shared" ref="H34:H47" si="16">(D34*F34*G34)+((E34*(F34/2))*G34)</f>
        <v>4000000</v>
      </c>
      <c r="I34" s="94">
        <f t="shared" si="5"/>
        <v>42400000</v>
      </c>
      <c r="J34" s="93">
        <f t="shared" si="14"/>
        <v>46400000</v>
      </c>
      <c r="K34" s="17">
        <v>290</v>
      </c>
      <c r="L34" s="93">
        <v>19</v>
      </c>
      <c r="M34" s="93">
        <v>10</v>
      </c>
      <c r="N34" s="93">
        <v>32000</v>
      </c>
      <c r="O34" s="93">
        <v>4</v>
      </c>
      <c r="P34" s="93">
        <f t="shared" ref="P34:P46" si="17">(L34*N34*O34)+((M34*(N34/2))*O34)</f>
        <v>3072000</v>
      </c>
      <c r="Q34" s="94">
        <f t="shared" ref="Q34:Q47" si="18">((K34-L34-M34)*N34*O34)+(M34*(N34/2))*4</f>
        <v>34048000</v>
      </c>
      <c r="R34" s="93">
        <f t="shared" si="9"/>
        <v>37120000</v>
      </c>
      <c r="S34" s="93">
        <f t="shared" ref="S34:U47" si="19">H34+P34</f>
        <v>7072000</v>
      </c>
      <c r="T34" s="95">
        <f t="shared" si="19"/>
        <v>76448000</v>
      </c>
      <c r="U34" s="93">
        <f t="shared" si="19"/>
        <v>83520000</v>
      </c>
      <c r="V34" s="94">
        <f t="shared" si="11"/>
        <v>33000000</v>
      </c>
      <c r="W34" s="96">
        <f t="shared" si="15"/>
        <v>50520000</v>
      </c>
      <c r="X34" s="75">
        <f t="shared" si="12"/>
        <v>33</v>
      </c>
    </row>
    <row r="35" spans="1:24" s="77" customFormat="1">
      <c r="A35" s="101" t="s">
        <v>122</v>
      </c>
      <c r="B35" s="90" t="s">
        <v>70</v>
      </c>
      <c r="C35" s="17">
        <v>400</v>
      </c>
      <c r="D35" s="92">
        <v>16</v>
      </c>
      <c r="E35" s="92">
        <v>25</v>
      </c>
      <c r="F35" s="93">
        <v>32000</v>
      </c>
      <c r="G35" s="93">
        <v>5</v>
      </c>
      <c r="H35" s="93">
        <f t="shared" si="16"/>
        <v>4560000</v>
      </c>
      <c r="I35" s="94">
        <f t="shared" si="5"/>
        <v>59440000</v>
      </c>
      <c r="J35" s="93">
        <f t="shared" si="14"/>
        <v>64000000</v>
      </c>
      <c r="K35" s="17">
        <v>400</v>
      </c>
      <c r="L35" s="93">
        <f>'[3]cap bu'!H42</f>
        <v>15</v>
      </c>
      <c r="M35" s="93">
        <f>'[3]cap bu'!I42</f>
        <v>25</v>
      </c>
      <c r="N35" s="93">
        <v>32000</v>
      </c>
      <c r="O35" s="93">
        <v>4</v>
      </c>
      <c r="P35" s="93">
        <f t="shared" si="17"/>
        <v>3520000</v>
      </c>
      <c r="Q35" s="94">
        <f t="shared" si="18"/>
        <v>47680000</v>
      </c>
      <c r="R35" s="93">
        <f t="shared" si="9"/>
        <v>51200000</v>
      </c>
      <c r="S35" s="93">
        <f t="shared" si="19"/>
        <v>8080000</v>
      </c>
      <c r="T35" s="95">
        <f t="shared" si="19"/>
        <v>107120000</v>
      </c>
      <c r="U35" s="93">
        <f t="shared" si="19"/>
        <v>115200000</v>
      </c>
      <c r="V35" s="94">
        <f t="shared" si="11"/>
        <v>46000000</v>
      </c>
      <c r="W35" s="96">
        <f t="shared" si="15"/>
        <v>69200000</v>
      </c>
      <c r="X35" s="75">
        <f t="shared" si="12"/>
        <v>46</v>
      </c>
    </row>
    <row r="36" spans="1:24" s="77" customFormat="1">
      <c r="A36" s="101" t="s">
        <v>103</v>
      </c>
      <c r="B36" s="90" t="s">
        <v>71</v>
      </c>
      <c r="C36" s="17">
        <v>607</v>
      </c>
      <c r="D36" s="92">
        <v>18</v>
      </c>
      <c r="E36" s="92">
        <v>24</v>
      </c>
      <c r="F36" s="93">
        <v>32000</v>
      </c>
      <c r="G36" s="93">
        <v>5</v>
      </c>
      <c r="H36" s="93">
        <f t="shared" si="16"/>
        <v>4800000</v>
      </c>
      <c r="I36" s="94">
        <f t="shared" si="5"/>
        <v>92320000</v>
      </c>
      <c r="J36" s="93">
        <f t="shared" si="14"/>
        <v>97120000</v>
      </c>
      <c r="K36" s="17">
        <v>607</v>
      </c>
      <c r="L36" s="93">
        <f>'[3]cap bu'!H43</f>
        <v>18</v>
      </c>
      <c r="M36" s="93">
        <f>'[3]cap bu'!I43</f>
        <v>24</v>
      </c>
      <c r="N36" s="93">
        <v>32000</v>
      </c>
      <c r="O36" s="93">
        <v>4</v>
      </c>
      <c r="P36" s="93">
        <f t="shared" si="17"/>
        <v>3840000</v>
      </c>
      <c r="Q36" s="94">
        <f t="shared" si="18"/>
        <v>73856000</v>
      </c>
      <c r="R36" s="93">
        <f>P36+Q36</f>
        <v>77696000</v>
      </c>
      <c r="S36" s="93">
        <f t="shared" si="19"/>
        <v>8640000</v>
      </c>
      <c r="T36" s="95">
        <f t="shared" si="19"/>
        <v>166176000</v>
      </c>
      <c r="U36" s="93">
        <f>J36+R36</f>
        <v>174816000</v>
      </c>
      <c r="V36" s="94">
        <f t="shared" si="11"/>
        <v>70000000</v>
      </c>
      <c r="W36" s="96">
        <f t="shared" si="15"/>
        <v>104816000</v>
      </c>
      <c r="X36" s="75">
        <f t="shared" si="12"/>
        <v>70</v>
      </c>
    </row>
    <row r="37" spans="1:24" s="77" customFormat="1">
      <c r="A37" s="101" t="s">
        <v>104</v>
      </c>
      <c r="B37" s="90" t="s">
        <v>72</v>
      </c>
      <c r="C37" s="17">
        <v>540</v>
      </c>
      <c r="D37" s="92">
        <v>18</v>
      </c>
      <c r="E37" s="92">
        <v>22</v>
      </c>
      <c r="F37" s="93">
        <v>32000</v>
      </c>
      <c r="G37" s="93">
        <v>5</v>
      </c>
      <c r="H37" s="93">
        <f t="shared" si="16"/>
        <v>4640000</v>
      </c>
      <c r="I37" s="94">
        <f t="shared" si="5"/>
        <v>81760000</v>
      </c>
      <c r="J37" s="93">
        <f t="shared" si="14"/>
        <v>86400000</v>
      </c>
      <c r="K37" s="17">
        <v>535</v>
      </c>
      <c r="L37" s="93">
        <f>'[3]cap bu'!H44</f>
        <v>20</v>
      </c>
      <c r="M37" s="93">
        <f>'[3]cap bu'!I44</f>
        <v>22</v>
      </c>
      <c r="N37" s="93">
        <v>32000</v>
      </c>
      <c r="O37" s="93">
        <v>4</v>
      </c>
      <c r="P37" s="93">
        <f t="shared" si="17"/>
        <v>3968000</v>
      </c>
      <c r="Q37" s="94">
        <f t="shared" si="18"/>
        <v>64512000</v>
      </c>
      <c r="R37" s="93">
        <f t="shared" si="9"/>
        <v>68480000</v>
      </c>
      <c r="S37" s="93">
        <f t="shared" si="19"/>
        <v>8608000</v>
      </c>
      <c r="T37" s="95">
        <f t="shared" si="19"/>
        <v>146272000</v>
      </c>
      <c r="U37" s="93">
        <f t="shared" si="19"/>
        <v>154880000</v>
      </c>
      <c r="V37" s="94">
        <f t="shared" si="11"/>
        <v>62000000</v>
      </c>
      <c r="W37" s="96">
        <f t="shared" si="15"/>
        <v>92880000</v>
      </c>
      <c r="X37" s="75">
        <f t="shared" si="12"/>
        <v>62</v>
      </c>
    </row>
    <row r="38" spans="1:24" s="76" customFormat="1">
      <c r="A38" s="101" t="s">
        <v>123</v>
      </c>
      <c r="B38" s="90" t="s">
        <v>73</v>
      </c>
      <c r="C38" s="17">
        <v>756</v>
      </c>
      <c r="D38" s="103">
        <v>15</v>
      </c>
      <c r="E38" s="103">
        <v>12</v>
      </c>
      <c r="F38" s="93">
        <v>50000</v>
      </c>
      <c r="G38" s="93">
        <v>5</v>
      </c>
      <c r="H38" s="93">
        <f t="shared" si="16"/>
        <v>5250000</v>
      </c>
      <c r="I38" s="94">
        <f t="shared" si="5"/>
        <v>183750000</v>
      </c>
      <c r="J38" s="93">
        <f t="shared" si="14"/>
        <v>189000000</v>
      </c>
      <c r="K38" s="17">
        <v>756</v>
      </c>
      <c r="L38" s="93">
        <f>'[3]cap bu'!H13</f>
        <v>15</v>
      </c>
      <c r="M38" s="93">
        <f>'[3]cap bu'!I13</f>
        <v>12</v>
      </c>
      <c r="N38" s="93">
        <v>50000</v>
      </c>
      <c r="O38" s="93">
        <v>4</v>
      </c>
      <c r="P38" s="93">
        <f t="shared" si="17"/>
        <v>4200000</v>
      </c>
      <c r="Q38" s="94">
        <f t="shared" si="18"/>
        <v>147000000</v>
      </c>
      <c r="R38" s="93">
        <f t="shared" si="9"/>
        <v>151200000</v>
      </c>
      <c r="S38" s="93">
        <f t="shared" si="19"/>
        <v>9450000</v>
      </c>
      <c r="T38" s="95">
        <f t="shared" si="19"/>
        <v>330750000</v>
      </c>
      <c r="U38" s="93">
        <f t="shared" si="19"/>
        <v>340200000</v>
      </c>
      <c r="V38" s="94">
        <f t="shared" si="11"/>
        <v>136000000</v>
      </c>
      <c r="W38" s="96">
        <f t="shared" si="15"/>
        <v>204200000</v>
      </c>
      <c r="X38" s="75">
        <f t="shared" si="12"/>
        <v>136</v>
      </c>
    </row>
    <row r="39" spans="1:24" s="77" customFormat="1" ht="24">
      <c r="A39" s="101" t="s">
        <v>124</v>
      </c>
      <c r="B39" s="90" t="s">
        <v>198</v>
      </c>
      <c r="C39" s="17">
        <v>151</v>
      </c>
      <c r="D39" s="92">
        <v>5</v>
      </c>
      <c r="E39" s="92">
        <v>4</v>
      </c>
      <c r="F39" s="93">
        <v>32000</v>
      </c>
      <c r="G39" s="93">
        <v>5</v>
      </c>
      <c r="H39" s="93">
        <f>(D39*F39*G39)+((E39*(F39/2))*G39)</f>
        <v>1120000</v>
      </c>
      <c r="I39" s="94">
        <f>((C39-D39-E39)*F39*G39)+(E39*(F39/2))*5</f>
        <v>23040000</v>
      </c>
      <c r="J39" s="93">
        <f>H39+I39</f>
        <v>24160000</v>
      </c>
      <c r="K39" s="17">
        <v>151</v>
      </c>
      <c r="L39" s="93">
        <f>'[3]cap bu'!H45</f>
        <v>5</v>
      </c>
      <c r="M39" s="93">
        <f>'[3]cap bu'!I45</f>
        <v>4</v>
      </c>
      <c r="N39" s="93">
        <v>32000</v>
      </c>
      <c r="O39" s="93">
        <v>4</v>
      </c>
      <c r="P39" s="93">
        <f>(L39*N39*O39)+((M39*(N39/2))*O39)</f>
        <v>896000</v>
      </c>
      <c r="Q39" s="94">
        <f>((K39-L39-M39)*N39*O39)+(M39*(N39/2))*4</f>
        <v>18432000</v>
      </c>
      <c r="R39" s="93">
        <f>P39+Q39</f>
        <v>19328000</v>
      </c>
      <c r="S39" s="93">
        <f>H39+P39</f>
        <v>2016000</v>
      </c>
      <c r="T39" s="95">
        <f>I39+Q39</f>
        <v>41472000</v>
      </c>
      <c r="U39" s="93">
        <f>J39+R39</f>
        <v>43488000</v>
      </c>
      <c r="V39" s="94">
        <f>ROUND((U39*0.4),-6)</f>
        <v>17000000</v>
      </c>
      <c r="W39" s="96">
        <f t="shared" si="15"/>
        <v>26488000</v>
      </c>
      <c r="X39" s="75">
        <f t="shared" si="12"/>
        <v>17</v>
      </c>
    </row>
    <row r="40" spans="1:24" s="77" customFormat="1">
      <c r="A40" s="101" t="s">
        <v>125</v>
      </c>
      <c r="B40" s="90" t="s">
        <v>74</v>
      </c>
      <c r="C40" s="17">
        <v>370</v>
      </c>
      <c r="D40" s="92">
        <v>15</v>
      </c>
      <c r="E40" s="92">
        <v>12</v>
      </c>
      <c r="F40" s="93">
        <v>32000</v>
      </c>
      <c r="G40" s="93">
        <v>5</v>
      </c>
      <c r="H40" s="93">
        <f t="shared" si="16"/>
        <v>3360000</v>
      </c>
      <c r="I40" s="94">
        <f t="shared" si="5"/>
        <v>55840000</v>
      </c>
      <c r="J40" s="93">
        <f t="shared" si="14"/>
        <v>59200000</v>
      </c>
      <c r="K40" s="17">
        <v>382</v>
      </c>
      <c r="L40" s="93">
        <f>'[3]cap bu'!H46</f>
        <v>15</v>
      </c>
      <c r="M40" s="93">
        <f>'[3]cap bu'!I46</f>
        <v>12</v>
      </c>
      <c r="N40" s="93">
        <v>32000</v>
      </c>
      <c r="O40" s="93">
        <v>4</v>
      </c>
      <c r="P40" s="93">
        <f t="shared" si="17"/>
        <v>2688000</v>
      </c>
      <c r="Q40" s="94">
        <f t="shared" si="18"/>
        <v>46208000</v>
      </c>
      <c r="R40" s="93">
        <f t="shared" si="9"/>
        <v>48896000</v>
      </c>
      <c r="S40" s="93">
        <f t="shared" si="19"/>
        <v>6048000</v>
      </c>
      <c r="T40" s="95">
        <f t="shared" si="19"/>
        <v>102048000</v>
      </c>
      <c r="U40" s="93">
        <f t="shared" si="19"/>
        <v>108096000</v>
      </c>
      <c r="V40" s="94">
        <f t="shared" si="11"/>
        <v>43000000</v>
      </c>
      <c r="W40" s="96">
        <f t="shared" si="15"/>
        <v>65096000</v>
      </c>
      <c r="X40" s="75">
        <f t="shared" si="12"/>
        <v>43</v>
      </c>
    </row>
    <row r="41" spans="1:24" s="77" customFormat="1">
      <c r="A41" s="101" t="s">
        <v>126</v>
      </c>
      <c r="B41" s="90" t="s">
        <v>75</v>
      </c>
      <c r="C41" s="17">
        <v>372</v>
      </c>
      <c r="D41" s="92">
        <v>15</v>
      </c>
      <c r="E41" s="92">
        <v>20</v>
      </c>
      <c r="F41" s="93">
        <v>32000</v>
      </c>
      <c r="G41" s="93">
        <v>5</v>
      </c>
      <c r="H41" s="93">
        <f>(D41*F41*G41)+((E41*(F41/2))*G41)</f>
        <v>4000000</v>
      </c>
      <c r="I41" s="94">
        <f>((C41-D41-E41)*F41*G41)+(E41*(F41/2))*5</f>
        <v>55520000</v>
      </c>
      <c r="J41" s="93">
        <f>H41+I41</f>
        <v>59520000</v>
      </c>
      <c r="K41" s="17">
        <v>358</v>
      </c>
      <c r="L41" s="93">
        <f>'[3]cap bu'!H47</f>
        <v>15</v>
      </c>
      <c r="M41" s="93">
        <f>'[3]cap bu'!I47</f>
        <v>20</v>
      </c>
      <c r="N41" s="93">
        <v>32000</v>
      </c>
      <c r="O41" s="93">
        <v>4</v>
      </c>
      <c r="P41" s="93">
        <f>(L41*N41*O41)+((M41*(N41/2))*O41)</f>
        <v>3200000</v>
      </c>
      <c r="Q41" s="94">
        <f>((K41-L41-M41)*N41*O41)+(M41*(N41/2))*4</f>
        <v>42624000</v>
      </c>
      <c r="R41" s="93">
        <f>P41+Q41</f>
        <v>45824000</v>
      </c>
      <c r="S41" s="93">
        <f>H41+P41</f>
        <v>7200000</v>
      </c>
      <c r="T41" s="95">
        <f>I41+Q41</f>
        <v>98144000</v>
      </c>
      <c r="U41" s="93">
        <f>J41+R41</f>
        <v>105344000</v>
      </c>
      <c r="V41" s="94">
        <f>ROUND((U41*0.4),-6)</f>
        <v>42000000</v>
      </c>
      <c r="W41" s="96">
        <f t="shared" si="15"/>
        <v>63344000</v>
      </c>
      <c r="X41" s="75">
        <f t="shared" si="12"/>
        <v>42</v>
      </c>
    </row>
    <row r="42" spans="1:24" s="77" customFormat="1">
      <c r="A42" s="101" t="s">
        <v>127</v>
      </c>
      <c r="B42" s="90" t="s">
        <v>199</v>
      </c>
      <c r="C42" s="17">
        <v>370</v>
      </c>
      <c r="D42" s="92">
        <v>22</v>
      </c>
      <c r="E42" s="92">
        <v>35</v>
      </c>
      <c r="F42" s="93">
        <v>32000</v>
      </c>
      <c r="G42" s="93">
        <v>5</v>
      </c>
      <c r="H42" s="93">
        <f t="shared" si="16"/>
        <v>6320000</v>
      </c>
      <c r="I42" s="94">
        <f t="shared" si="5"/>
        <v>52880000</v>
      </c>
      <c r="J42" s="93">
        <f t="shared" si="14"/>
        <v>59200000</v>
      </c>
      <c r="K42" s="17">
        <v>370</v>
      </c>
      <c r="L42" s="93">
        <v>19</v>
      </c>
      <c r="M42" s="93">
        <f>'[3]cap bu'!I48</f>
        <v>28</v>
      </c>
      <c r="N42" s="93">
        <v>32000</v>
      </c>
      <c r="O42" s="93">
        <v>4</v>
      </c>
      <c r="P42" s="93">
        <f t="shared" si="17"/>
        <v>4224000</v>
      </c>
      <c r="Q42" s="94">
        <f t="shared" si="18"/>
        <v>43136000</v>
      </c>
      <c r="R42" s="93">
        <f t="shared" si="9"/>
        <v>47360000</v>
      </c>
      <c r="S42" s="93">
        <f t="shared" si="19"/>
        <v>10544000</v>
      </c>
      <c r="T42" s="95">
        <f t="shared" si="19"/>
        <v>96016000</v>
      </c>
      <c r="U42" s="93">
        <f t="shared" si="19"/>
        <v>106560000</v>
      </c>
      <c r="V42" s="94">
        <f t="shared" ref="V42:V47" si="20">ROUND((U42*0.4),-6)</f>
        <v>43000000</v>
      </c>
      <c r="W42" s="96">
        <f t="shared" si="15"/>
        <v>63560000</v>
      </c>
      <c r="X42" s="75">
        <f t="shared" si="12"/>
        <v>43</v>
      </c>
    </row>
    <row r="43" spans="1:24" s="77" customFormat="1" ht="24">
      <c r="A43" s="101" t="s">
        <v>128</v>
      </c>
      <c r="B43" s="90" t="s">
        <v>147</v>
      </c>
      <c r="C43" s="17">
        <v>248</v>
      </c>
      <c r="D43" s="92">
        <v>13</v>
      </c>
      <c r="E43" s="92"/>
      <c r="F43" s="93">
        <v>32000</v>
      </c>
      <c r="G43" s="93">
        <v>5</v>
      </c>
      <c r="H43" s="93">
        <f t="shared" si="16"/>
        <v>2080000</v>
      </c>
      <c r="I43" s="94">
        <f t="shared" si="5"/>
        <v>37600000</v>
      </c>
      <c r="J43" s="93">
        <f t="shared" si="14"/>
        <v>39680000</v>
      </c>
      <c r="K43" s="17">
        <v>256</v>
      </c>
      <c r="L43" s="93">
        <v>13</v>
      </c>
      <c r="M43" s="93"/>
      <c r="N43" s="93">
        <v>32000</v>
      </c>
      <c r="O43" s="93">
        <v>4</v>
      </c>
      <c r="P43" s="93">
        <f t="shared" si="17"/>
        <v>1664000</v>
      </c>
      <c r="Q43" s="94">
        <f t="shared" si="18"/>
        <v>31104000</v>
      </c>
      <c r="R43" s="93">
        <f t="shared" si="9"/>
        <v>32768000</v>
      </c>
      <c r="S43" s="93">
        <f t="shared" si="19"/>
        <v>3744000</v>
      </c>
      <c r="T43" s="95">
        <f t="shared" si="19"/>
        <v>68704000</v>
      </c>
      <c r="U43" s="93">
        <f t="shared" si="19"/>
        <v>72448000</v>
      </c>
      <c r="V43" s="94">
        <f t="shared" si="20"/>
        <v>29000000</v>
      </c>
      <c r="W43" s="96">
        <f t="shared" si="15"/>
        <v>43448000</v>
      </c>
      <c r="X43" s="75">
        <f t="shared" si="12"/>
        <v>29</v>
      </c>
    </row>
    <row r="44" spans="1:24" s="77" customFormat="1">
      <c r="A44" s="101" t="s">
        <v>129</v>
      </c>
      <c r="B44" s="90" t="s">
        <v>77</v>
      </c>
      <c r="C44" s="17">
        <v>299</v>
      </c>
      <c r="D44" s="92">
        <v>7</v>
      </c>
      <c r="E44" s="92">
        <v>10</v>
      </c>
      <c r="F44" s="93">
        <v>32000</v>
      </c>
      <c r="G44" s="93">
        <v>5</v>
      </c>
      <c r="H44" s="93">
        <f t="shared" si="16"/>
        <v>1920000</v>
      </c>
      <c r="I44" s="94">
        <f t="shared" si="5"/>
        <v>45920000</v>
      </c>
      <c r="J44" s="93">
        <f t="shared" si="14"/>
        <v>47840000</v>
      </c>
      <c r="K44" s="17">
        <v>293</v>
      </c>
      <c r="L44" s="93">
        <f>'[3]cap bu'!H50</f>
        <v>8</v>
      </c>
      <c r="M44" s="93">
        <f>'[3]cap bu'!I50</f>
        <v>11</v>
      </c>
      <c r="N44" s="93">
        <v>32000</v>
      </c>
      <c r="O44" s="93">
        <v>4</v>
      </c>
      <c r="P44" s="93">
        <f t="shared" si="17"/>
        <v>1728000</v>
      </c>
      <c r="Q44" s="94">
        <f t="shared" si="18"/>
        <v>35776000</v>
      </c>
      <c r="R44" s="93">
        <f t="shared" si="9"/>
        <v>37504000</v>
      </c>
      <c r="S44" s="93">
        <f t="shared" si="19"/>
        <v>3648000</v>
      </c>
      <c r="T44" s="95">
        <f t="shared" si="19"/>
        <v>81696000</v>
      </c>
      <c r="U44" s="93">
        <f t="shared" si="19"/>
        <v>85344000</v>
      </c>
      <c r="V44" s="94">
        <f t="shared" si="20"/>
        <v>34000000</v>
      </c>
      <c r="W44" s="96">
        <f t="shared" si="15"/>
        <v>51344000</v>
      </c>
      <c r="X44" s="75">
        <f t="shared" si="12"/>
        <v>34</v>
      </c>
    </row>
    <row r="45" spans="1:24" s="77" customFormat="1" ht="24">
      <c r="A45" s="101" t="s">
        <v>130</v>
      </c>
      <c r="B45" s="90" t="s">
        <v>110</v>
      </c>
      <c r="C45" s="17">
        <v>204</v>
      </c>
      <c r="D45" s="92">
        <v>12</v>
      </c>
      <c r="E45" s="92">
        <v>8</v>
      </c>
      <c r="F45" s="93">
        <v>32000</v>
      </c>
      <c r="G45" s="93">
        <v>5</v>
      </c>
      <c r="H45" s="93">
        <f t="shared" si="16"/>
        <v>2560000</v>
      </c>
      <c r="I45" s="94">
        <f t="shared" si="5"/>
        <v>30080000</v>
      </c>
      <c r="J45" s="93">
        <f t="shared" si="14"/>
        <v>32640000</v>
      </c>
      <c r="K45" s="17">
        <v>204</v>
      </c>
      <c r="L45" s="93">
        <f>'[3]cap bu'!H51</f>
        <v>12</v>
      </c>
      <c r="M45" s="93">
        <f>'[3]cap bu'!I51</f>
        <v>8</v>
      </c>
      <c r="N45" s="93">
        <v>32000</v>
      </c>
      <c r="O45" s="93">
        <v>4</v>
      </c>
      <c r="P45" s="93">
        <f t="shared" si="17"/>
        <v>2048000</v>
      </c>
      <c r="Q45" s="94">
        <f t="shared" si="18"/>
        <v>24064000</v>
      </c>
      <c r="R45" s="93">
        <f t="shared" si="9"/>
        <v>26112000</v>
      </c>
      <c r="S45" s="93">
        <f t="shared" si="19"/>
        <v>4608000</v>
      </c>
      <c r="T45" s="95">
        <f t="shared" si="19"/>
        <v>54144000</v>
      </c>
      <c r="U45" s="93">
        <f t="shared" si="19"/>
        <v>58752000</v>
      </c>
      <c r="V45" s="94">
        <f t="shared" si="20"/>
        <v>24000000</v>
      </c>
      <c r="W45" s="96">
        <f t="shared" si="15"/>
        <v>34752000</v>
      </c>
      <c r="X45" s="75">
        <f t="shared" si="12"/>
        <v>24</v>
      </c>
    </row>
    <row r="46" spans="1:24" s="77" customFormat="1">
      <c r="A46" s="101" t="s">
        <v>131</v>
      </c>
      <c r="B46" s="90" t="s">
        <v>78</v>
      </c>
      <c r="C46" s="17">
        <v>272</v>
      </c>
      <c r="D46" s="92">
        <v>5</v>
      </c>
      <c r="E46" s="92">
        <v>5</v>
      </c>
      <c r="F46" s="93">
        <v>32000</v>
      </c>
      <c r="G46" s="93">
        <v>5</v>
      </c>
      <c r="H46" s="93">
        <f t="shared" si="16"/>
        <v>1200000</v>
      </c>
      <c r="I46" s="94">
        <f t="shared" si="5"/>
        <v>42320000</v>
      </c>
      <c r="J46" s="93">
        <f t="shared" si="14"/>
        <v>43520000</v>
      </c>
      <c r="K46" s="17">
        <v>250</v>
      </c>
      <c r="L46" s="93">
        <f>'[3]cap bu'!H52</f>
        <v>5</v>
      </c>
      <c r="M46" s="93">
        <f>'[3]cap bu'!I52</f>
        <v>5</v>
      </c>
      <c r="N46" s="93">
        <v>32000</v>
      </c>
      <c r="O46" s="93">
        <v>4</v>
      </c>
      <c r="P46" s="93">
        <f t="shared" si="17"/>
        <v>960000</v>
      </c>
      <c r="Q46" s="94">
        <f t="shared" si="18"/>
        <v>31040000</v>
      </c>
      <c r="R46" s="93">
        <f t="shared" si="9"/>
        <v>32000000</v>
      </c>
      <c r="S46" s="93">
        <f t="shared" si="19"/>
        <v>2160000</v>
      </c>
      <c r="T46" s="95">
        <f t="shared" si="19"/>
        <v>73360000</v>
      </c>
      <c r="U46" s="93">
        <f t="shared" si="19"/>
        <v>75520000</v>
      </c>
      <c r="V46" s="94">
        <f t="shared" si="20"/>
        <v>30000000</v>
      </c>
      <c r="W46" s="96">
        <f t="shared" si="15"/>
        <v>45520000</v>
      </c>
      <c r="X46" s="75">
        <f t="shared" si="12"/>
        <v>30</v>
      </c>
    </row>
    <row r="47" spans="1:24" s="77" customFormat="1">
      <c r="A47" s="101" t="s">
        <v>132</v>
      </c>
      <c r="B47" s="90" t="s">
        <v>200</v>
      </c>
      <c r="C47" s="17">
        <v>756</v>
      </c>
      <c r="D47" s="92">
        <v>15</v>
      </c>
      <c r="E47" s="92">
        <v>12</v>
      </c>
      <c r="F47" s="93">
        <v>32000</v>
      </c>
      <c r="G47" s="93">
        <v>5</v>
      </c>
      <c r="H47" s="93">
        <f t="shared" si="16"/>
        <v>3360000</v>
      </c>
      <c r="I47" s="94">
        <f>((C47-D47-E47)*F47*G47)+(E47*(F47/2))*5</f>
        <v>117600000</v>
      </c>
      <c r="J47" s="93">
        <f t="shared" si="14"/>
        <v>120960000</v>
      </c>
      <c r="K47" s="17">
        <v>756</v>
      </c>
      <c r="L47" s="93">
        <v>15</v>
      </c>
      <c r="M47" s="93">
        <v>12</v>
      </c>
      <c r="N47" s="93">
        <v>32000</v>
      </c>
      <c r="O47" s="93">
        <v>4</v>
      </c>
      <c r="P47" s="93">
        <f>(L47*N47*O47)+((M47*(N47/2))*O47)</f>
        <v>2688000</v>
      </c>
      <c r="Q47" s="94">
        <f t="shared" si="18"/>
        <v>94080000</v>
      </c>
      <c r="R47" s="93">
        <f t="shared" si="9"/>
        <v>96768000</v>
      </c>
      <c r="S47" s="93">
        <f t="shared" si="19"/>
        <v>6048000</v>
      </c>
      <c r="T47" s="95">
        <f t="shared" si="19"/>
        <v>211680000</v>
      </c>
      <c r="U47" s="93">
        <f t="shared" si="19"/>
        <v>217728000</v>
      </c>
      <c r="V47" s="94">
        <f t="shared" si="20"/>
        <v>87000000</v>
      </c>
      <c r="W47" s="96">
        <f t="shared" si="15"/>
        <v>130728000</v>
      </c>
      <c r="X47" s="75">
        <f t="shared" si="12"/>
        <v>87</v>
      </c>
    </row>
    <row r="49" spans="1:22">
      <c r="A49" s="80"/>
      <c r="B49" s="81"/>
      <c r="F49" s="60"/>
      <c r="G49" s="60"/>
      <c r="I49" s="60"/>
      <c r="K49" s="81"/>
      <c r="L49" s="81"/>
      <c r="M49" s="82"/>
      <c r="N49" s="76"/>
      <c r="O49" s="60"/>
      <c r="P49" s="156"/>
      <c r="Q49" s="156"/>
      <c r="R49" s="156"/>
      <c r="S49" s="156"/>
      <c r="T49" s="156"/>
      <c r="U49" s="156"/>
      <c r="V49" s="156"/>
    </row>
    <row r="50" spans="1:22">
      <c r="A50" s="146"/>
      <c r="B50" s="146"/>
      <c r="C50" s="83"/>
      <c r="D50" s="84"/>
      <c r="E50" s="84"/>
      <c r="F50" s="83"/>
      <c r="G50" s="83"/>
      <c r="I50" s="60"/>
      <c r="K50" s="61"/>
      <c r="L50" s="146"/>
      <c r="M50" s="146"/>
      <c r="N50" s="146"/>
      <c r="O50" s="60"/>
      <c r="P50" s="146"/>
      <c r="Q50" s="146"/>
      <c r="R50" s="146"/>
      <c r="S50" s="146"/>
      <c r="T50" s="146"/>
      <c r="U50" s="146"/>
      <c r="V50" s="146"/>
    </row>
    <row r="51" spans="1:22">
      <c r="A51" s="60"/>
      <c r="F51" s="60"/>
      <c r="G51" s="60"/>
      <c r="I51" s="85"/>
      <c r="L51" s="60"/>
      <c r="N51" s="60"/>
      <c r="O51" s="60"/>
      <c r="P51" s="146"/>
      <c r="Q51" s="146"/>
      <c r="R51" s="146"/>
      <c r="S51" s="146"/>
      <c r="T51" s="146"/>
      <c r="U51" s="146"/>
      <c r="V51" s="146"/>
    </row>
    <row r="56" spans="1:22">
      <c r="C56" s="63"/>
      <c r="D56" s="61"/>
      <c r="E56" s="61"/>
      <c r="F56" s="63"/>
      <c r="G56" s="63"/>
    </row>
  </sheetData>
  <mergeCells count="13">
    <mergeCell ref="W3:W4"/>
    <mergeCell ref="P49:V49"/>
    <mergeCell ref="A50:B50"/>
    <mergeCell ref="L50:N50"/>
    <mergeCell ref="P50:V50"/>
    <mergeCell ref="P51:V51"/>
    <mergeCell ref="A1:V1"/>
    <mergeCell ref="A3:A4"/>
    <mergeCell ref="B3:B4"/>
    <mergeCell ref="C3:J3"/>
    <mergeCell ref="K3:R3"/>
    <mergeCell ref="S3:U3"/>
    <mergeCell ref="V3:V4"/>
  </mergeCells>
  <pageMargins left="0.25" right="0.25" top="0.25" bottom="0.25" header="0.25" footer="0.25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77"/>
  <sheetViews>
    <sheetView workbookViewId="0">
      <selection activeCell="D72" sqref="D72"/>
    </sheetView>
  </sheetViews>
  <sheetFormatPr defaultColWidth="9.125" defaultRowHeight="15"/>
  <cols>
    <col min="1" max="1" width="5.625" style="58" customWidth="1"/>
    <col min="2" max="2" width="20.625" style="23" customWidth="1"/>
    <col min="3" max="3" width="7.5" style="23" customWidth="1"/>
    <col min="4" max="5" width="9.375" style="23" customWidth="1"/>
    <col min="6" max="6" width="10.375" style="23" customWidth="1"/>
    <col min="7" max="20" width="12.875" style="23" customWidth="1"/>
    <col min="21" max="16384" width="9.125" style="23"/>
  </cols>
  <sheetData>
    <row r="1" spans="1:26" s="22" customFormat="1" ht="15.75">
      <c r="A1" s="135"/>
      <c r="B1" s="136"/>
    </row>
    <row r="2" spans="1:26" s="22" customFormat="1" ht="15.75" hidden="1">
      <c r="A2" s="137"/>
      <c r="B2" s="138"/>
    </row>
    <row r="3" spans="1:26" s="22" customFormat="1" ht="15.75" customHeight="1">
      <c r="A3" s="130"/>
      <c r="B3" s="130"/>
    </row>
    <row r="4" spans="1:26" ht="15.6" customHeight="1">
      <c r="A4" s="59"/>
      <c r="G4" s="27"/>
    </row>
    <row r="5" spans="1:26" s="29" customFormat="1" ht="45.75" customHeight="1">
      <c r="A5" s="108" t="s">
        <v>6</v>
      </c>
      <c r="B5" s="108" t="s">
        <v>10</v>
      </c>
      <c r="C5" s="109" t="s">
        <v>204</v>
      </c>
      <c r="D5" s="109" t="s">
        <v>205</v>
      </c>
      <c r="E5" s="109" t="s">
        <v>206</v>
      </c>
      <c r="F5" s="109"/>
      <c r="G5" s="28"/>
      <c r="H5" s="28"/>
      <c r="I5" s="28"/>
      <c r="J5" s="28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</row>
    <row r="6" spans="1:26" s="29" customFormat="1" ht="15" customHeight="1">
      <c r="A6" s="31" t="s">
        <v>1</v>
      </c>
      <c r="B6" s="31" t="s">
        <v>2</v>
      </c>
      <c r="C6" s="106"/>
      <c r="D6" s="106"/>
      <c r="E6" s="106"/>
      <c r="F6" s="106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</row>
    <row r="7" spans="1:26" s="29" customFormat="1">
      <c r="A7" s="33"/>
      <c r="B7" s="33" t="s">
        <v>116</v>
      </c>
      <c r="C7" s="111">
        <f>+C8+C34+C57</f>
        <v>710</v>
      </c>
      <c r="D7" s="111"/>
      <c r="E7" s="111">
        <f>+E8+E34+E57</f>
        <v>23517</v>
      </c>
      <c r="F7" s="106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</row>
    <row r="8" spans="1:26" s="29" customFormat="1" ht="14.25">
      <c r="A8" s="33" t="s">
        <v>3</v>
      </c>
      <c r="B8" s="35" t="s">
        <v>25</v>
      </c>
      <c r="C8" s="112">
        <f>SUM(C9:C33)</f>
        <v>224</v>
      </c>
      <c r="D8" s="112"/>
      <c r="E8" s="112">
        <f t="shared" ref="E8" si="0">SUM(E9:E33)</f>
        <v>6792</v>
      </c>
      <c r="F8" s="107"/>
    </row>
    <row r="9" spans="1:26">
      <c r="A9" s="56">
        <v>1</v>
      </c>
      <c r="B9" s="1" t="s">
        <v>27</v>
      </c>
      <c r="C9" s="113">
        <v>8</v>
      </c>
      <c r="D9" s="114">
        <v>33</v>
      </c>
      <c r="E9" s="114">
        <f>+C9*D9</f>
        <v>264</v>
      </c>
      <c r="F9" s="157" t="s">
        <v>202</v>
      </c>
      <c r="G9" s="27"/>
    </row>
    <row r="10" spans="1:26">
      <c r="A10" s="56">
        <v>2</v>
      </c>
      <c r="B10" s="1" t="s">
        <v>28</v>
      </c>
      <c r="C10" s="113">
        <v>8</v>
      </c>
      <c r="D10" s="114">
        <v>33</v>
      </c>
      <c r="E10" s="114">
        <f t="shared" ref="E10:E72" si="1">+C10*D10</f>
        <v>264</v>
      </c>
      <c r="F10" s="157"/>
      <c r="G10" s="27"/>
    </row>
    <row r="11" spans="1:26">
      <c r="A11" s="56">
        <v>3</v>
      </c>
      <c r="B11" s="1" t="s">
        <v>29</v>
      </c>
      <c r="C11" s="113">
        <v>10</v>
      </c>
      <c r="D11" s="114">
        <v>33</v>
      </c>
      <c r="E11" s="114">
        <f t="shared" si="1"/>
        <v>330</v>
      </c>
      <c r="F11" s="157"/>
      <c r="G11" s="27"/>
    </row>
    <row r="12" spans="1:26">
      <c r="A12" s="56">
        <v>4</v>
      </c>
      <c r="B12" s="1" t="s">
        <v>30</v>
      </c>
      <c r="C12" s="113">
        <v>6</v>
      </c>
      <c r="D12" s="114">
        <v>33</v>
      </c>
      <c r="E12" s="114">
        <f t="shared" si="1"/>
        <v>198</v>
      </c>
      <c r="F12" s="157"/>
      <c r="G12" s="27"/>
    </row>
    <row r="13" spans="1:26">
      <c r="A13" s="56">
        <v>5</v>
      </c>
      <c r="B13" s="1" t="s">
        <v>31</v>
      </c>
      <c r="C13" s="113">
        <v>6</v>
      </c>
      <c r="D13" s="114">
        <v>33</v>
      </c>
      <c r="E13" s="114">
        <f t="shared" si="1"/>
        <v>198</v>
      </c>
      <c r="F13" s="157"/>
      <c r="G13" s="27"/>
    </row>
    <row r="14" spans="1:26">
      <c r="A14" s="56">
        <v>6</v>
      </c>
      <c r="B14" s="1" t="s">
        <v>32</v>
      </c>
      <c r="C14" s="113">
        <v>9</v>
      </c>
      <c r="D14" s="114">
        <v>33</v>
      </c>
      <c r="E14" s="114">
        <f t="shared" si="1"/>
        <v>297</v>
      </c>
      <c r="F14" s="157"/>
      <c r="G14" s="27"/>
    </row>
    <row r="15" spans="1:26">
      <c r="A15" s="56">
        <v>7</v>
      </c>
      <c r="B15" s="1" t="s">
        <v>33</v>
      </c>
      <c r="C15" s="113">
        <v>13</v>
      </c>
      <c r="D15" s="115">
        <v>30</v>
      </c>
      <c r="E15" s="114">
        <f t="shared" si="1"/>
        <v>390</v>
      </c>
      <c r="F15" s="39"/>
      <c r="G15" s="27"/>
    </row>
    <row r="16" spans="1:26">
      <c r="A16" s="56">
        <v>8</v>
      </c>
      <c r="B16" s="1" t="s">
        <v>34</v>
      </c>
      <c r="C16" s="113">
        <v>12</v>
      </c>
      <c r="D16" s="115">
        <v>30</v>
      </c>
      <c r="E16" s="114">
        <f t="shared" si="1"/>
        <v>360</v>
      </c>
      <c r="F16" s="39"/>
      <c r="G16" s="27"/>
    </row>
    <row r="17" spans="1:7">
      <c r="A17" s="56">
        <v>9</v>
      </c>
      <c r="B17" s="1" t="s">
        <v>35</v>
      </c>
      <c r="C17" s="113">
        <v>13</v>
      </c>
      <c r="D17" s="115">
        <v>30</v>
      </c>
      <c r="E17" s="114">
        <f t="shared" si="1"/>
        <v>390</v>
      </c>
      <c r="F17" s="39"/>
      <c r="G17" s="27"/>
    </row>
    <row r="18" spans="1:7">
      <c r="A18" s="56">
        <v>10</v>
      </c>
      <c r="B18" s="1" t="s">
        <v>36</v>
      </c>
      <c r="C18" s="113">
        <v>9</v>
      </c>
      <c r="D18" s="115">
        <v>30</v>
      </c>
      <c r="E18" s="114">
        <f t="shared" si="1"/>
        <v>270</v>
      </c>
      <c r="F18" s="39"/>
      <c r="G18" s="27"/>
    </row>
    <row r="19" spans="1:7">
      <c r="A19" s="56">
        <v>11</v>
      </c>
      <c r="B19" s="1" t="s">
        <v>37</v>
      </c>
      <c r="C19" s="113">
        <v>11</v>
      </c>
      <c r="D19" s="114">
        <v>27</v>
      </c>
      <c r="E19" s="114">
        <f t="shared" si="1"/>
        <v>297</v>
      </c>
      <c r="F19" s="39"/>
      <c r="G19" s="27"/>
    </row>
    <row r="20" spans="1:7">
      <c r="A20" s="56">
        <v>12</v>
      </c>
      <c r="B20" s="1" t="s">
        <v>38</v>
      </c>
      <c r="C20" s="113">
        <v>12</v>
      </c>
      <c r="D20" s="114">
        <v>27</v>
      </c>
      <c r="E20" s="114">
        <f t="shared" si="1"/>
        <v>324</v>
      </c>
      <c r="F20" s="39"/>
      <c r="G20" s="27"/>
    </row>
    <row r="21" spans="1:7">
      <c r="A21" s="56">
        <v>13</v>
      </c>
      <c r="B21" s="1" t="s">
        <v>39</v>
      </c>
      <c r="C21" s="113">
        <v>12</v>
      </c>
      <c r="D21" s="115">
        <v>30</v>
      </c>
      <c r="E21" s="114">
        <f t="shared" si="1"/>
        <v>360</v>
      </c>
      <c r="F21" s="39"/>
      <c r="G21" s="27"/>
    </row>
    <row r="22" spans="1:7">
      <c r="A22" s="56">
        <v>14</v>
      </c>
      <c r="B22" s="1" t="s">
        <v>40</v>
      </c>
      <c r="C22" s="113">
        <v>9</v>
      </c>
      <c r="D22" s="115">
        <v>30</v>
      </c>
      <c r="E22" s="114">
        <f t="shared" si="1"/>
        <v>270</v>
      </c>
      <c r="F22" s="39"/>
      <c r="G22" s="27"/>
    </row>
    <row r="23" spans="1:7">
      <c r="A23" s="56">
        <v>15</v>
      </c>
      <c r="B23" s="1" t="s">
        <v>41</v>
      </c>
      <c r="C23" s="113">
        <v>6</v>
      </c>
      <c r="D23" s="115">
        <v>30</v>
      </c>
      <c r="E23" s="114">
        <f t="shared" si="1"/>
        <v>180</v>
      </c>
      <c r="F23" s="39"/>
      <c r="G23" s="27"/>
    </row>
    <row r="24" spans="1:7">
      <c r="A24" s="56">
        <v>16</v>
      </c>
      <c r="B24" s="1" t="s">
        <v>42</v>
      </c>
      <c r="C24" s="113">
        <v>9</v>
      </c>
      <c r="D24" s="115">
        <v>30</v>
      </c>
      <c r="E24" s="114">
        <f t="shared" si="1"/>
        <v>270</v>
      </c>
      <c r="F24" s="39"/>
      <c r="G24" s="27"/>
    </row>
    <row r="25" spans="1:7">
      <c r="A25" s="56">
        <v>17</v>
      </c>
      <c r="B25" s="1" t="s">
        <v>43</v>
      </c>
      <c r="C25" s="113">
        <v>5</v>
      </c>
      <c r="D25" s="115">
        <v>30</v>
      </c>
      <c r="E25" s="114">
        <f t="shared" si="1"/>
        <v>150</v>
      </c>
      <c r="F25" s="39"/>
      <c r="G25" s="27"/>
    </row>
    <row r="26" spans="1:7">
      <c r="A26" s="56">
        <v>18</v>
      </c>
      <c r="B26" s="1" t="s">
        <v>44</v>
      </c>
      <c r="C26" s="113">
        <v>12</v>
      </c>
      <c r="D26" s="115">
        <v>30</v>
      </c>
      <c r="E26" s="114">
        <f t="shared" si="1"/>
        <v>360</v>
      </c>
      <c r="F26" s="39"/>
      <c r="G26" s="27"/>
    </row>
    <row r="27" spans="1:7">
      <c r="A27" s="56">
        <v>19</v>
      </c>
      <c r="B27" s="1" t="s">
        <v>45</v>
      </c>
      <c r="C27" s="113">
        <v>6</v>
      </c>
      <c r="D27" s="115">
        <v>30</v>
      </c>
      <c r="E27" s="114">
        <f t="shared" si="1"/>
        <v>180</v>
      </c>
      <c r="F27" s="39"/>
      <c r="G27" s="27"/>
    </row>
    <row r="28" spans="1:7">
      <c r="A28" s="56">
        <v>20</v>
      </c>
      <c r="B28" s="1" t="s">
        <v>46</v>
      </c>
      <c r="C28" s="113">
        <v>7</v>
      </c>
      <c r="D28" s="115">
        <v>30</v>
      </c>
      <c r="E28" s="114">
        <f t="shared" si="1"/>
        <v>210</v>
      </c>
      <c r="F28" s="39"/>
      <c r="G28" s="27"/>
    </row>
    <row r="29" spans="1:7">
      <c r="A29" s="56">
        <v>21</v>
      </c>
      <c r="B29" s="1" t="s">
        <v>47</v>
      </c>
      <c r="C29" s="113">
        <v>5</v>
      </c>
      <c r="D29" s="115">
        <v>30</v>
      </c>
      <c r="E29" s="114">
        <f t="shared" si="1"/>
        <v>150</v>
      </c>
      <c r="F29" s="39"/>
      <c r="G29" s="27"/>
    </row>
    <row r="30" spans="1:7">
      <c r="A30" s="56">
        <v>22</v>
      </c>
      <c r="B30" s="1" t="s">
        <v>48</v>
      </c>
      <c r="C30" s="113">
        <v>10</v>
      </c>
      <c r="D30" s="115">
        <v>30</v>
      </c>
      <c r="E30" s="114">
        <f t="shared" si="1"/>
        <v>300</v>
      </c>
      <c r="F30" s="39"/>
      <c r="G30" s="27"/>
    </row>
    <row r="31" spans="1:7">
      <c r="A31" s="56">
        <v>23</v>
      </c>
      <c r="B31" s="1" t="s">
        <v>49</v>
      </c>
      <c r="C31" s="113">
        <v>8</v>
      </c>
      <c r="D31" s="115">
        <v>30</v>
      </c>
      <c r="E31" s="114">
        <f t="shared" si="1"/>
        <v>240</v>
      </c>
      <c r="F31" s="39"/>
      <c r="G31" s="27"/>
    </row>
    <row r="32" spans="1:7">
      <c r="A32" s="56">
        <v>24</v>
      </c>
      <c r="B32" s="1" t="s">
        <v>50</v>
      </c>
      <c r="C32" s="113">
        <v>9</v>
      </c>
      <c r="D32" s="115">
        <v>30</v>
      </c>
      <c r="E32" s="114">
        <f t="shared" si="1"/>
        <v>270</v>
      </c>
      <c r="F32" s="39"/>
      <c r="G32" s="27"/>
    </row>
    <row r="33" spans="1:8">
      <c r="A33" s="56">
        <v>25</v>
      </c>
      <c r="B33" s="1" t="s">
        <v>51</v>
      </c>
      <c r="C33" s="113">
        <v>9</v>
      </c>
      <c r="D33" s="115">
        <v>30</v>
      </c>
      <c r="E33" s="114">
        <f t="shared" si="1"/>
        <v>270</v>
      </c>
      <c r="F33" s="39"/>
      <c r="G33" s="27"/>
    </row>
    <row r="34" spans="1:8" s="29" customFormat="1">
      <c r="A34" s="33" t="s">
        <v>4</v>
      </c>
      <c r="B34" s="2" t="s">
        <v>52</v>
      </c>
      <c r="C34" s="112">
        <f>SUM(C35:C56)</f>
        <v>315</v>
      </c>
      <c r="D34" s="112">
        <f t="shared" ref="D34" si="2">SUM(D35:D56)</f>
        <v>784</v>
      </c>
      <c r="E34" s="112">
        <f>SUM(E35:E56)</f>
        <v>11201</v>
      </c>
      <c r="F34" s="36"/>
      <c r="G34" s="27"/>
      <c r="H34" s="23"/>
    </row>
    <row r="35" spans="1:8">
      <c r="A35" s="56">
        <v>1</v>
      </c>
      <c r="B35" s="1" t="s">
        <v>53</v>
      </c>
      <c r="C35" s="115">
        <v>10</v>
      </c>
      <c r="D35" s="114">
        <v>38</v>
      </c>
      <c r="E35" s="114">
        <f t="shared" si="1"/>
        <v>380</v>
      </c>
      <c r="F35" s="157" t="s">
        <v>202</v>
      </c>
      <c r="G35" s="27"/>
    </row>
    <row r="36" spans="1:8">
      <c r="A36" s="56">
        <v>2</v>
      </c>
      <c r="B36" s="1" t="s">
        <v>54</v>
      </c>
      <c r="C36" s="115">
        <v>15</v>
      </c>
      <c r="D36" s="114">
        <v>38</v>
      </c>
      <c r="E36" s="114">
        <f t="shared" si="1"/>
        <v>570</v>
      </c>
      <c r="F36" s="157"/>
      <c r="G36" s="27"/>
    </row>
    <row r="37" spans="1:8">
      <c r="A37" s="56">
        <v>3</v>
      </c>
      <c r="B37" s="1" t="s">
        <v>55</v>
      </c>
      <c r="C37" s="115">
        <v>17</v>
      </c>
      <c r="D37" s="114">
        <v>38</v>
      </c>
      <c r="E37" s="114">
        <f t="shared" si="1"/>
        <v>646</v>
      </c>
      <c r="F37" s="157"/>
      <c r="G37" s="27"/>
    </row>
    <row r="38" spans="1:8">
      <c r="A38" s="56">
        <v>4</v>
      </c>
      <c r="B38" s="1" t="s">
        <v>56</v>
      </c>
      <c r="C38" s="115">
        <v>13</v>
      </c>
      <c r="D38" s="114">
        <v>38</v>
      </c>
      <c r="E38" s="114">
        <f t="shared" si="1"/>
        <v>494</v>
      </c>
      <c r="F38" s="157"/>
      <c r="G38" s="27"/>
    </row>
    <row r="39" spans="1:8">
      <c r="A39" s="56">
        <v>5</v>
      </c>
      <c r="B39" s="1" t="s">
        <v>57</v>
      </c>
      <c r="C39" s="115">
        <v>14</v>
      </c>
      <c r="D39" s="114">
        <v>38</v>
      </c>
      <c r="E39" s="114">
        <f t="shared" si="1"/>
        <v>532</v>
      </c>
      <c r="F39" s="157"/>
      <c r="G39" s="27"/>
    </row>
    <row r="40" spans="1:8">
      <c r="A40" s="56">
        <v>6</v>
      </c>
      <c r="B40" s="1" t="s">
        <v>58</v>
      </c>
      <c r="C40" s="113">
        <v>14</v>
      </c>
      <c r="D40" s="115">
        <v>35</v>
      </c>
      <c r="E40" s="114">
        <f t="shared" si="1"/>
        <v>490</v>
      </c>
      <c r="F40" s="39"/>
      <c r="G40" s="27"/>
    </row>
    <row r="41" spans="1:8">
      <c r="A41" s="56">
        <v>7</v>
      </c>
      <c r="B41" s="1" t="s">
        <v>59</v>
      </c>
      <c r="C41" s="113">
        <v>15</v>
      </c>
      <c r="D41" s="115">
        <v>35</v>
      </c>
      <c r="E41" s="114">
        <f t="shared" si="1"/>
        <v>525</v>
      </c>
      <c r="F41" s="39"/>
      <c r="G41" s="27"/>
    </row>
    <row r="42" spans="1:8">
      <c r="A42" s="56">
        <v>8</v>
      </c>
      <c r="B42" s="1" t="s">
        <v>60</v>
      </c>
      <c r="C42" s="113">
        <v>10</v>
      </c>
      <c r="D42" s="115">
        <v>35</v>
      </c>
      <c r="E42" s="114">
        <f t="shared" si="1"/>
        <v>350</v>
      </c>
      <c r="F42" s="39"/>
      <c r="G42" s="27"/>
    </row>
    <row r="43" spans="1:8">
      <c r="A43" s="56">
        <v>9</v>
      </c>
      <c r="B43" s="9" t="s">
        <v>80</v>
      </c>
      <c r="C43" s="113">
        <v>15</v>
      </c>
      <c r="D43" s="115">
        <v>35</v>
      </c>
      <c r="E43" s="114">
        <f t="shared" si="1"/>
        <v>525</v>
      </c>
      <c r="F43" s="39"/>
      <c r="G43" s="27"/>
    </row>
    <row r="44" spans="1:8">
      <c r="A44" s="56">
        <v>10</v>
      </c>
      <c r="B44" s="1" t="s">
        <v>61</v>
      </c>
      <c r="C44" s="113">
        <v>10</v>
      </c>
      <c r="D44" s="115">
        <v>35</v>
      </c>
      <c r="E44" s="114">
        <f t="shared" si="1"/>
        <v>350</v>
      </c>
      <c r="F44" s="39"/>
      <c r="G44" s="27"/>
    </row>
    <row r="45" spans="1:8">
      <c r="A45" s="56">
        <v>11</v>
      </c>
      <c r="B45" s="1" t="s">
        <v>62</v>
      </c>
      <c r="C45" s="113">
        <v>31</v>
      </c>
      <c r="D45" s="114">
        <v>34</v>
      </c>
      <c r="E45" s="114">
        <f t="shared" si="1"/>
        <v>1054</v>
      </c>
      <c r="F45" s="39"/>
      <c r="G45" s="27"/>
    </row>
    <row r="46" spans="1:8">
      <c r="A46" s="56">
        <v>12</v>
      </c>
      <c r="B46" s="1" t="s">
        <v>90</v>
      </c>
      <c r="C46" s="113">
        <v>23</v>
      </c>
      <c r="D46" s="115">
        <v>35</v>
      </c>
      <c r="E46" s="114">
        <f t="shared" si="1"/>
        <v>805</v>
      </c>
      <c r="F46" s="39"/>
      <c r="G46" s="27"/>
    </row>
    <row r="47" spans="1:8">
      <c r="A47" s="56">
        <v>13</v>
      </c>
      <c r="B47" s="48" t="s">
        <v>144</v>
      </c>
      <c r="C47" s="113">
        <v>14</v>
      </c>
      <c r="D47" s="115">
        <v>35</v>
      </c>
      <c r="E47" s="114">
        <f t="shared" si="1"/>
        <v>490</v>
      </c>
      <c r="F47" s="39"/>
      <c r="G47" s="27"/>
    </row>
    <row r="48" spans="1:8">
      <c r="A48" s="56">
        <v>14</v>
      </c>
      <c r="B48" s="48" t="s">
        <v>145</v>
      </c>
      <c r="C48" s="113">
        <v>10</v>
      </c>
      <c r="D48" s="115">
        <v>35</v>
      </c>
      <c r="E48" s="114">
        <f t="shared" si="1"/>
        <v>350</v>
      </c>
      <c r="F48" s="39"/>
      <c r="G48" s="27"/>
    </row>
    <row r="49" spans="1:8">
      <c r="A49" s="56">
        <v>15</v>
      </c>
      <c r="B49" s="48" t="s">
        <v>91</v>
      </c>
      <c r="C49" s="113">
        <v>23</v>
      </c>
      <c r="D49" s="115">
        <v>35</v>
      </c>
      <c r="E49" s="114">
        <f t="shared" si="1"/>
        <v>805</v>
      </c>
      <c r="F49" s="39"/>
      <c r="G49" s="27"/>
    </row>
    <row r="50" spans="1:8">
      <c r="A50" s="56">
        <v>16</v>
      </c>
      <c r="B50" s="48" t="s">
        <v>63</v>
      </c>
      <c r="C50" s="113">
        <v>10</v>
      </c>
      <c r="D50" s="115">
        <v>35</v>
      </c>
      <c r="E50" s="114">
        <f t="shared" si="1"/>
        <v>350</v>
      </c>
      <c r="F50" s="39"/>
      <c r="G50" s="27"/>
    </row>
    <row r="51" spans="1:8">
      <c r="A51" s="56">
        <v>17</v>
      </c>
      <c r="B51" s="48" t="s">
        <v>64</v>
      </c>
      <c r="C51" s="113">
        <v>14</v>
      </c>
      <c r="D51" s="115">
        <v>35</v>
      </c>
      <c r="E51" s="114">
        <f t="shared" si="1"/>
        <v>490</v>
      </c>
      <c r="F51" s="39"/>
      <c r="G51" s="27"/>
    </row>
    <row r="52" spans="1:8">
      <c r="A52" s="56">
        <v>18</v>
      </c>
      <c r="B52" s="48" t="s">
        <v>65</v>
      </c>
      <c r="C52" s="113">
        <v>13</v>
      </c>
      <c r="D52" s="115">
        <v>35</v>
      </c>
      <c r="E52" s="114">
        <f t="shared" si="1"/>
        <v>455</v>
      </c>
      <c r="F52" s="39"/>
      <c r="G52" s="27"/>
    </row>
    <row r="53" spans="1:8">
      <c r="A53" s="56">
        <v>19</v>
      </c>
      <c r="B53" s="48" t="s">
        <v>66</v>
      </c>
      <c r="C53" s="113">
        <v>17</v>
      </c>
      <c r="D53" s="115">
        <v>35</v>
      </c>
      <c r="E53" s="114">
        <f t="shared" si="1"/>
        <v>595</v>
      </c>
      <c r="F53" s="39"/>
      <c r="G53" s="27"/>
    </row>
    <row r="54" spans="1:8" ht="30">
      <c r="A54" s="56"/>
      <c r="B54" s="1" t="s">
        <v>92</v>
      </c>
      <c r="C54" s="106">
        <v>10</v>
      </c>
      <c r="D54" s="115">
        <v>35</v>
      </c>
      <c r="E54" s="114">
        <f t="shared" si="1"/>
        <v>350</v>
      </c>
      <c r="F54" s="39"/>
      <c r="G54" s="27"/>
    </row>
    <row r="55" spans="1:8" ht="30">
      <c r="A55" s="56"/>
      <c r="B55" s="1" t="s">
        <v>109</v>
      </c>
      <c r="C55" s="106">
        <v>6</v>
      </c>
      <c r="D55" s="115">
        <v>35</v>
      </c>
      <c r="E55" s="114">
        <f t="shared" si="1"/>
        <v>210</v>
      </c>
      <c r="F55" s="39"/>
      <c r="G55" s="27"/>
    </row>
    <row r="56" spans="1:8">
      <c r="A56" s="56"/>
      <c r="B56" s="1" t="s">
        <v>110</v>
      </c>
      <c r="C56" s="106">
        <v>11</v>
      </c>
      <c r="D56" s="115">
        <v>35</v>
      </c>
      <c r="E56" s="114">
        <f t="shared" si="1"/>
        <v>385</v>
      </c>
      <c r="F56" s="39"/>
      <c r="G56" s="27"/>
    </row>
    <row r="57" spans="1:8" s="29" customFormat="1">
      <c r="A57" s="33" t="s">
        <v>22</v>
      </c>
      <c r="B57" s="2" t="s">
        <v>67</v>
      </c>
      <c r="C57" s="112">
        <f>SUM(C58:C72)</f>
        <v>171</v>
      </c>
      <c r="D57" s="112">
        <f t="shared" ref="D57:E57" si="3">SUM(D58:D72)</f>
        <v>487</v>
      </c>
      <c r="E57" s="112">
        <f t="shared" si="3"/>
        <v>5524</v>
      </c>
      <c r="F57" s="36"/>
      <c r="G57" s="27"/>
      <c r="H57" s="23"/>
    </row>
    <row r="58" spans="1:8">
      <c r="A58" s="56">
        <v>1</v>
      </c>
      <c r="B58" s="1" t="s">
        <v>68</v>
      </c>
      <c r="C58" s="115">
        <v>12</v>
      </c>
      <c r="D58" s="114">
        <v>35</v>
      </c>
      <c r="E58" s="114">
        <f t="shared" si="1"/>
        <v>420</v>
      </c>
      <c r="F58" s="157" t="s">
        <v>202</v>
      </c>
      <c r="G58" s="27"/>
    </row>
    <row r="59" spans="1:8">
      <c r="A59" s="56">
        <v>2</v>
      </c>
      <c r="B59" s="1" t="s">
        <v>69</v>
      </c>
      <c r="C59" s="115">
        <v>8</v>
      </c>
      <c r="D59" s="114">
        <v>35</v>
      </c>
      <c r="E59" s="114">
        <f t="shared" si="1"/>
        <v>280</v>
      </c>
      <c r="F59" s="157"/>
      <c r="G59" s="27"/>
    </row>
    <row r="60" spans="1:8">
      <c r="A60" s="56">
        <v>3</v>
      </c>
      <c r="B60" s="1" t="s">
        <v>70</v>
      </c>
      <c r="C60" s="115">
        <v>12</v>
      </c>
      <c r="D60" s="114">
        <v>35</v>
      </c>
      <c r="E60" s="114">
        <f t="shared" si="1"/>
        <v>420</v>
      </c>
      <c r="F60" s="157"/>
      <c r="G60" s="27"/>
    </row>
    <row r="61" spans="1:8">
      <c r="A61" s="56">
        <v>4</v>
      </c>
      <c r="B61" s="1" t="s">
        <v>71</v>
      </c>
      <c r="C61" s="115">
        <v>18</v>
      </c>
      <c r="D61" s="115">
        <v>32</v>
      </c>
      <c r="E61" s="114">
        <f t="shared" si="1"/>
        <v>576</v>
      </c>
      <c r="F61" s="39"/>
      <c r="G61" s="27"/>
    </row>
    <row r="62" spans="1:8">
      <c r="A62" s="56">
        <v>5</v>
      </c>
      <c r="B62" s="1" t="s">
        <v>72</v>
      </c>
      <c r="C62" s="115">
        <v>18</v>
      </c>
      <c r="D62" s="115">
        <v>32</v>
      </c>
      <c r="E62" s="114">
        <f t="shared" si="1"/>
        <v>576</v>
      </c>
      <c r="F62" s="39"/>
      <c r="G62" s="27"/>
    </row>
    <row r="63" spans="1:8" s="45" customFormat="1">
      <c r="A63" s="57">
        <v>6</v>
      </c>
      <c r="B63" s="1" t="s">
        <v>73</v>
      </c>
      <c r="C63" s="116">
        <v>22</v>
      </c>
      <c r="D63" s="114">
        <v>30</v>
      </c>
      <c r="E63" s="114">
        <f t="shared" si="1"/>
        <v>660</v>
      </c>
      <c r="F63" s="39"/>
      <c r="G63" s="27"/>
      <c r="H63" s="23"/>
    </row>
    <row r="64" spans="1:8" ht="30">
      <c r="A64" s="56">
        <v>7</v>
      </c>
      <c r="B64" s="1" t="s">
        <v>92</v>
      </c>
      <c r="C64" s="115">
        <v>6</v>
      </c>
      <c r="D64" s="115">
        <v>32</v>
      </c>
      <c r="E64" s="114">
        <f t="shared" si="1"/>
        <v>192</v>
      </c>
      <c r="F64" s="39"/>
      <c r="G64" s="27"/>
    </row>
    <row r="65" spans="1:7">
      <c r="A65" s="56">
        <v>8</v>
      </c>
      <c r="B65" s="1" t="s">
        <v>74</v>
      </c>
      <c r="C65" s="115">
        <v>11</v>
      </c>
      <c r="D65" s="115">
        <v>32</v>
      </c>
      <c r="E65" s="114">
        <f t="shared" si="1"/>
        <v>352</v>
      </c>
      <c r="F65" s="39"/>
      <c r="G65" s="27"/>
    </row>
    <row r="66" spans="1:7">
      <c r="A66" s="56">
        <v>9</v>
      </c>
      <c r="B66" s="1" t="s">
        <v>75</v>
      </c>
      <c r="C66" s="115">
        <v>11</v>
      </c>
      <c r="D66" s="115">
        <v>32</v>
      </c>
      <c r="E66" s="114">
        <f t="shared" si="1"/>
        <v>352</v>
      </c>
      <c r="F66" s="39"/>
      <c r="G66" s="27"/>
    </row>
    <row r="67" spans="1:7" ht="30">
      <c r="A67" s="56">
        <v>10</v>
      </c>
      <c r="B67" s="1" t="s">
        <v>76</v>
      </c>
      <c r="C67" s="115">
        <v>12</v>
      </c>
      <c r="D67" s="115">
        <v>32</v>
      </c>
      <c r="E67" s="114">
        <f t="shared" si="1"/>
        <v>384</v>
      </c>
      <c r="F67" s="39"/>
      <c r="G67" s="27"/>
    </row>
    <row r="68" spans="1:7" ht="30">
      <c r="A68" s="56">
        <v>11</v>
      </c>
      <c r="B68" s="1" t="s">
        <v>109</v>
      </c>
      <c r="C68" s="115">
        <v>8</v>
      </c>
      <c r="D68" s="115">
        <v>32</v>
      </c>
      <c r="E68" s="114">
        <f t="shared" si="1"/>
        <v>256</v>
      </c>
      <c r="F68" s="39"/>
      <c r="G68" s="27"/>
    </row>
    <row r="69" spans="1:7">
      <c r="A69" s="56">
        <v>12</v>
      </c>
      <c r="B69" s="1" t="s">
        <v>77</v>
      </c>
      <c r="C69" s="115">
        <v>9</v>
      </c>
      <c r="D69" s="115">
        <v>32</v>
      </c>
      <c r="E69" s="114">
        <f t="shared" si="1"/>
        <v>288</v>
      </c>
      <c r="F69" s="39"/>
      <c r="G69" s="27"/>
    </row>
    <row r="70" spans="1:7">
      <c r="A70" s="56">
        <v>13</v>
      </c>
      <c r="B70" s="1" t="s">
        <v>110</v>
      </c>
      <c r="C70" s="115">
        <v>8</v>
      </c>
      <c r="D70" s="115">
        <v>32</v>
      </c>
      <c r="E70" s="114">
        <f t="shared" si="1"/>
        <v>256</v>
      </c>
      <c r="F70" s="39"/>
      <c r="G70" s="27"/>
    </row>
    <row r="71" spans="1:7">
      <c r="A71" s="56">
        <v>14</v>
      </c>
      <c r="B71" s="1" t="s">
        <v>78</v>
      </c>
      <c r="C71" s="115">
        <v>8</v>
      </c>
      <c r="D71" s="115">
        <v>32</v>
      </c>
      <c r="E71" s="114">
        <f t="shared" si="1"/>
        <v>256</v>
      </c>
      <c r="F71" s="39"/>
      <c r="G71" s="27"/>
    </row>
    <row r="72" spans="1:7">
      <c r="A72" s="56">
        <v>15</v>
      </c>
      <c r="B72" s="1" t="s">
        <v>79</v>
      </c>
      <c r="C72" s="115">
        <v>8</v>
      </c>
      <c r="D72" s="115">
        <v>32</v>
      </c>
      <c r="E72" s="114">
        <f t="shared" si="1"/>
        <v>256</v>
      </c>
      <c r="F72" s="39"/>
      <c r="G72" s="27"/>
    </row>
    <row r="74" spans="1:7">
      <c r="D74" s="23" t="s">
        <v>169</v>
      </c>
    </row>
    <row r="75" spans="1:7">
      <c r="D75" s="23">
        <v>10</v>
      </c>
      <c r="E75" s="23">
        <v>6</v>
      </c>
    </row>
    <row r="76" spans="1:7">
      <c r="D76" s="23">
        <v>6</v>
      </c>
      <c r="E76" s="23">
        <v>8</v>
      </c>
    </row>
    <row r="77" spans="1:7">
      <c r="D77" s="23">
        <v>11</v>
      </c>
      <c r="E77" s="23">
        <v>8</v>
      </c>
    </row>
  </sheetData>
  <mergeCells count="6">
    <mergeCell ref="F35:F39"/>
    <mergeCell ref="F58:F60"/>
    <mergeCell ref="F9:F14"/>
    <mergeCell ref="A1:B1"/>
    <mergeCell ref="A2:B2"/>
    <mergeCell ref="A3:B3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TH GIAO DUC</vt:lpstr>
      <vt:lpstr>CHI TIET GIAO DUC</vt:lpstr>
      <vt:lpstr>HOC PHI</vt:lpstr>
      <vt:lpstr>TX GD</vt:lpstr>
      <vt:lpstr>'CHI TIET GIAO DUC'!Print_Titles</vt:lpstr>
      <vt:lpstr>'TH GIAO DUC'!Print_Titles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10</cp:lastModifiedBy>
  <cp:lastPrinted>2022-01-04T01:31:32Z</cp:lastPrinted>
  <dcterms:created xsi:type="dcterms:W3CDTF">2018-06-22T01:33:57Z</dcterms:created>
  <dcterms:modified xsi:type="dcterms:W3CDTF">2022-01-04T08:19:42Z</dcterms:modified>
</cp:coreProperties>
</file>